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cfile-01s\学校共通\C_各種組織\C102学校栄養職員\02栄養士会\給食だより\R4年度給食だより\"/>
    </mc:Choice>
  </mc:AlternateContent>
  <bookViews>
    <workbookView xWindow="0" yWindow="0" windowWidth="20490" windowHeight="7365"/>
  </bookViews>
  <sheets>
    <sheet name="Sheet1" sheetId="1" r:id="rId1"/>
  </sheets>
  <definedNames>
    <definedName name="__EER６">Sheet1!$W$36:$W$65536</definedName>
    <definedName name="_EER６">Sheet1!$W$36:$W$65536</definedName>
    <definedName name="肥満度６">Sheet1!$P$36:$P$65536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P5" i="1" l="1"/>
  <c r="J5" i="1" s="1"/>
  <c r="L5" i="1" l="1"/>
  <c r="Q5" i="1"/>
  <c r="R5" i="1"/>
  <c r="K5" i="1"/>
  <c r="AD80" i="1"/>
  <c r="AD79" i="1"/>
  <c r="AD78" i="1"/>
  <c r="AD77" i="1"/>
  <c r="AD76" i="1"/>
  <c r="AD75" i="1"/>
  <c r="AD74" i="1"/>
  <c r="AD73" i="1"/>
  <c r="AD72" i="1"/>
  <c r="AD71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O5" i="1" l="1"/>
  <c r="AD66" i="1"/>
  <c r="AD81" i="1"/>
  <c r="H5" i="1" l="1"/>
  <c r="H8" i="1"/>
</calcChain>
</file>

<file path=xl/sharedStrings.xml><?xml version="1.0" encoding="utf-8"?>
<sst xmlns="http://schemas.openxmlformats.org/spreadsheetml/2006/main" count="171" uniqueCount="132">
  <si>
    <t>標準体重(kg)算出係数                             a ×身長（cm）- ｂ</t>
    <rPh sb="8" eb="10">
      <t>サンシュツ</t>
    </rPh>
    <rPh sb="10" eb="12">
      <t>ケイスウ</t>
    </rPh>
    <phoneticPr fontId="5"/>
  </si>
  <si>
    <t xml:space="preserve">     (日本人の食事摂取基準2010年版）</t>
    <rPh sb="6" eb="9">
      <t>ニホンジン</t>
    </rPh>
    <rPh sb="10" eb="12">
      <t>ショクジ</t>
    </rPh>
    <rPh sb="12" eb="14">
      <t>セッシュ</t>
    </rPh>
    <rPh sb="14" eb="16">
      <t>キジュン</t>
    </rPh>
    <rPh sb="20" eb="22">
      <t>ネンバン</t>
    </rPh>
    <phoneticPr fontId="5"/>
  </si>
  <si>
    <t>文部科学省 学校給食摂取基準</t>
    <rPh sb="0" eb="2">
      <t>モンブ</t>
    </rPh>
    <rPh sb="2" eb="5">
      <t>カガクショウ</t>
    </rPh>
    <rPh sb="6" eb="8">
      <t>ガッコウ</t>
    </rPh>
    <rPh sb="8" eb="10">
      <t>キュウショク</t>
    </rPh>
    <rPh sb="10" eb="12">
      <t>セッシュ</t>
    </rPh>
    <rPh sb="12" eb="14">
      <t>キジュン</t>
    </rPh>
    <phoneticPr fontId="5"/>
  </si>
  <si>
    <r>
      <t xml:space="preserve">   肥満度判定表   </t>
    </r>
    <r>
      <rPr>
        <sz val="8"/>
        <color indexed="62"/>
        <rFont val="ＭＳ Ｐゴシック"/>
        <family val="3"/>
        <charset val="128"/>
      </rPr>
      <t>肥満度（過体重度）＝〔実測体重(kg)－身長別標準体重（kg）〕／慎重別標準体重（kg）×100（％）</t>
    </r>
    <phoneticPr fontId="5"/>
  </si>
  <si>
    <t>年齢（歳）     性別</t>
    <phoneticPr fontId="11"/>
  </si>
  <si>
    <t>a</t>
    <phoneticPr fontId="5"/>
  </si>
  <si>
    <t>b</t>
    <phoneticPr fontId="5"/>
  </si>
  <si>
    <t>基礎代謝基準値（kcal/kg体重/日）</t>
    <rPh sb="0" eb="2">
      <t>キソ</t>
    </rPh>
    <rPh sb="2" eb="4">
      <t>タイシャ</t>
    </rPh>
    <rPh sb="4" eb="7">
      <t>キジュンチ</t>
    </rPh>
    <rPh sb="15" eb="17">
      <t>タイジュウ</t>
    </rPh>
    <rPh sb="18" eb="19">
      <t>ヒ</t>
    </rPh>
    <phoneticPr fontId="5"/>
  </si>
  <si>
    <t>基準体重(kg)</t>
    <rPh sb="0" eb="2">
      <t>キジュン</t>
    </rPh>
    <rPh sb="2" eb="4">
      <t>タイジュウ</t>
    </rPh>
    <phoneticPr fontId="5"/>
  </si>
  <si>
    <t>基礎代謝量（kcal/日）</t>
    <rPh sb="0" eb="2">
      <t>キソ</t>
    </rPh>
    <rPh sb="2" eb="4">
      <t>タイシャ</t>
    </rPh>
    <rPh sb="4" eb="5">
      <t>リョウ</t>
    </rPh>
    <rPh sb="11" eb="12">
      <t>ヒ</t>
    </rPh>
    <phoneticPr fontId="11"/>
  </si>
  <si>
    <t>エネルギー蓄積量     (kcal/日）</t>
    <rPh sb="5" eb="7">
      <t>チクセキ</t>
    </rPh>
    <rPh sb="7" eb="8">
      <t>リョウ</t>
    </rPh>
    <rPh sb="19" eb="20">
      <t>ヒ</t>
    </rPh>
    <phoneticPr fontId="5"/>
  </si>
  <si>
    <t>身体活動レベルⅠ（低い）</t>
    <rPh sb="0" eb="2">
      <t>シンタイ</t>
    </rPh>
    <rPh sb="2" eb="4">
      <t>カツドウ</t>
    </rPh>
    <rPh sb="9" eb="10">
      <t>ヒク</t>
    </rPh>
    <phoneticPr fontId="5"/>
  </si>
  <si>
    <t>身体活動レベルⅡ（ふつう）</t>
    <rPh sb="0" eb="2">
      <t>シンタイ</t>
    </rPh>
    <rPh sb="2" eb="4">
      <t>カツドウ</t>
    </rPh>
    <phoneticPr fontId="11"/>
  </si>
  <si>
    <t>身体活動レベルⅢ（高い）</t>
    <rPh sb="0" eb="2">
      <t>シンタイ</t>
    </rPh>
    <rPh sb="2" eb="4">
      <t>カツドウ</t>
    </rPh>
    <rPh sb="9" eb="10">
      <t>タカ</t>
    </rPh>
    <phoneticPr fontId="5"/>
  </si>
  <si>
    <t>身体活動レベル（学校給食摂取基準に準ずる）</t>
    <rPh sb="0" eb="2">
      <t>シンタイ</t>
    </rPh>
    <rPh sb="2" eb="4">
      <t>カツドウ</t>
    </rPh>
    <rPh sb="8" eb="10">
      <t>ガッコウ</t>
    </rPh>
    <rPh sb="10" eb="12">
      <t>キュウショク</t>
    </rPh>
    <rPh sb="12" eb="14">
      <t>セッシュ</t>
    </rPh>
    <rPh sb="14" eb="16">
      <t>キジュン</t>
    </rPh>
    <rPh sb="17" eb="18">
      <t>ジュン</t>
    </rPh>
    <phoneticPr fontId="5"/>
  </si>
  <si>
    <t>判定</t>
    <phoneticPr fontId="5"/>
  </si>
  <si>
    <t>肥満度</t>
    <phoneticPr fontId="5"/>
  </si>
  <si>
    <t>5男</t>
    <phoneticPr fontId="11"/>
  </si>
  <si>
    <t>―</t>
    <phoneticPr fontId="11"/>
  </si>
  <si>
    <t>～</t>
    <phoneticPr fontId="5"/>
  </si>
  <si>
    <t>高度やせ</t>
    <rPh sb="0" eb="2">
      <t>コウド</t>
    </rPh>
    <phoneticPr fontId="5"/>
  </si>
  <si>
    <t xml:space="preserve"> -30％以下</t>
    <phoneticPr fontId="5"/>
  </si>
  <si>
    <t>6男</t>
  </si>
  <si>
    <t>軽度やせ</t>
    <rPh sb="0" eb="2">
      <t>ケイド</t>
    </rPh>
    <phoneticPr fontId="5"/>
  </si>
  <si>
    <t xml:space="preserve"> -30％超-20％以下</t>
    <phoneticPr fontId="5"/>
  </si>
  <si>
    <t>7男</t>
  </si>
  <si>
    <t>ふつう</t>
    <phoneticPr fontId="5"/>
  </si>
  <si>
    <t xml:space="preserve"> -20％超～+20％未満</t>
    <phoneticPr fontId="5"/>
  </si>
  <si>
    <t>8男</t>
  </si>
  <si>
    <t>軽度肥満</t>
    <rPh sb="0" eb="2">
      <t>ケイド</t>
    </rPh>
    <rPh sb="2" eb="4">
      <t>ヒマン</t>
    </rPh>
    <phoneticPr fontId="5"/>
  </si>
  <si>
    <t xml:space="preserve">  20％以上30％未満</t>
    <phoneticPr fontId="5"/>
  </si>
  <si>
    <t>9男</t>
  </si>
  <si>
    <t>中等度肥満</t>
    <rPh sb="0" eb="2">
      <t>チュウトウ</t>
    </rPh>
    <rPh sb="2" eb="3">
      <t>ド</t>
    </rPh>
    <rPh sb="3" eb="5">
      <t>ヒマン</t>
    </rPh>
    <phoneticPr fontId="5"/>
  </si>
  <si>
    <t xml:space="preserve"> 30％以上50％未満</t>
    <phoneticPr fontId="5"/>
  </si>
  <si>
    <t>10男</t>
  </si>
  <si>
    <t>高度肥満</t>
    <rPh sb="0" eb="2">
      <t>コウド</t>
    </rPh>
    <rPh sb="2" eb="4">
      <t>ヒマン</t>
    </rPh>
    <phoneticPr fontId="5"/>
  </si>
  <si>
    <t xml:space="preserve"> 50％以上</t>
    <phoneticPr fontId="5"/>
  </si>
  <si>
    <t>11男</t>
  </si>
  <si>
    <t>12男</t>
  </si>
  <si>
    <t>13男</t>
  </si>
  <si>
    <t>14男</t>
  </si>
  <si>
    <t>15男</t>
  </si>
  <si>
    <t>16男</t>
  </si>
  <si>
    <t>17男</t>
  </si>
  <si>
    <t>5女</t>
  </si>
  <si>
    <t>6女</t>
  </si>
  <si>
    <t>7女</t>
  </si>
  <si>
    <t>8女</t>
  </si>
  <si>
    <t>9女</t>
  </si>
  <si>
    <t>10女</t>
  </si>
  <si>
    <t>11女</t>
  </si>
  <si>
    <t>12女</t>
  </si>
  <si>
    <t>13女</t>
  </si>
  <si>
    <t>14女</t>
  </si>
  <si>
    <t>15女</t>
  </si>
  <si>
    <t>16女</t>
  </si>
  <si>
    <t>17女</t>
  </si>
  <si>
    <t>Table n　EER 度数分布表</t>
    <phoneticPr fontId="5"/>
  </si>
  <si>
    <t>階級</t>
  </si>
  <si>
    <t>度数（単位）</t>
  </si>
  <si>
    <t>～325未満</t>
    <phoneticPr fontId="5"/>
  </si>
  <si>
    <t>325以上～350未満</t>
  </si>
  <si>
    <t>350以上～375未満</t>
  </si>
  <si>
    <t>375以上～400未満</t>
  </si>
  <si>
    <t>400以上～425未満</t>
  </si>
  <si>
    <t>425以上～450未満</t>
  </si>
  <si>
    <t>450以上～475未満</t>
  </si>
  <si>
    <t>475以上～500未満</t>
  </si>
  <si>
    <t>500以上～525未満</t>
  </si>
  <si>
    <t>525以上～550未満</t>
  </si>
  <si>
    <t>550以上～575未満</t>
  </si>
  <si>
    <t>575以上～600未満</t>
  </si>
  <si>
    <t>600以上～625未満</t>
  </si>
  <si>
    <t>625以上～650未満</t>
  </si>
  <si>
    <t>650以上～675未満</t>
  </si>
  <si>
    <t>675以上～700未満</t>
  </si>
  <si>
    <t>700以上～725未満</t>
  </si>
  <si>
    <t>725以上～750未満</t>
  </si>
  <si>
    <t>750以上～775未満</t>
  </si>
  <si>
    <t>775以上～800未満</t>
  </si>
  <si>
    <t>800以上～825未満</t>
  </si>
  <si>
    <t>825以上～850未満</t>
  </si>
  <si>
    <t>850以上～875未満</t>
  </si>
  <si>
    <t>875以上～900未満</t>
  </si>
  <si>
    <t>900以上～925未満</t>
  </si>
  <si>
    <t>925以上～950未満</t>
  </si>
  <si>
    <t>950以上～975未満</t>
  </si>
  <si>
    <t>975以上～1000未満</t>
  </si>
  <si>
    <t>1000以上～1025未満</t>
    <rPh sb="4" eb="6">
      <t>イジョウ</t>
    </rPh>
    <rPh sb="11" eb="13">
      <t>ミマン</t>
    </rPh>
    <phoneticPr fontId="5"/>
  </si>
  <si>
    <t>1025以上～</t>
    <rPh sb="4" eb="6">
      <t>イジョウ</t>
    </rPh>
    <phoneticPr fontId="5"/>
  </si>
  <si>
    <t>n 合計</t>
    <rPh sb="2" eb="4">
      <t>ゴウケイ</t>
    </rPh>
    <phoneticPr fontId="5"/>
  </si>
  <si>
    <t>Table n　肥満度 度数分布表</t>
    <rPh sb="8" eb="10">
      <t>ヒマン</t>
    </rPh>
    <rPh sb="10" eb="11">
      <t>ド</t>
    </rPh>
    <phoneticPr fontId="5"/>
  </si>
  <si>
    <t>高度やせ     -30%以下</t>
    <rPh sb="0" eb="2">
      <t>コウド</t>
    </rPh>
    <rPh sb="13" eb="15">
      <t>イカ</t>
    </rPh>
    <phoneticPr fontId="5"/>
  </si>
  <si>
    <t>軽度やせ -30%超 -20%以下</t>
    <rPh sb="0" eb="2">
      <t>ケイド</t>
    </rPh>
    <rPh sb="9" eb="10">
      <t>コ</t>
    </rPh>
    <rPh sb="15" eb="17">
      <t>イカ</t>
    </rPh>
    <phoneticPr fontId="5"/>
  </si>
  <si>
    <t>普通        -20%超 -10%以下</t>
    <rPh sb="0" eb="2">
      <t>フツウ</t>
    </rPh>
    <rPh sb="14" eb="15">
      <t>コ</t>
    </rPh>
    <rPh sb="20" eb="22">
      <t>イカ</t>
    </rPh>
    <phoneticPr fontId="5"/>
  </si>
  <si>
    <t>普通        -10%超     0%以下</t>
    <rPh sb="0" eb="2">
      <t>フツウ</t>
    </rPh>
    <rPh sb="14" eb="15">
      <t>コ</t>
    </rPh>
    <rPh sb="22" eb="24">
      <t>イカ</t>
    </rPh>
    <phoneticPr fontId="5"/>
  </si>
  <si>
    <t>普通           0%超   10%未満</t>
    <rPh sb="0" eb="2">
      <t>フツウ</t>
    </rPh>
    <rPh sb="15" eb="16">
      <t>チョウ</t>
    </rPh>
    <rPh sb="22" eb="24">
      <t>ミマン</t>
    </rPh>
    <phoneticPr fontId="5"/>
  </si>
  <si>
    <t>普通          10%以上20%未満</t>
    <rPh sb="0" eb="2">
      <t>フツウ</t>
    </rPh>
    <rPh sb="15" eb="17">
      <t>イジョウ</t>
    </rPh>
    <rPh sb="20" eb="22">
      <t>ミマン</t>
    </rPh>
    <phoneticPr fontId="5"/>
  </si>
  <si>
    <t>軽度肥満   20%以上30%未満</t>
    <rPh sb="0" eb="2">
      <t>ケイド</t>
    </rPh>
    <rPh sb="2" eb="4">
      <t>ヒマン</t>
    </rPh>
    <rPh sb="10" eb="12">
      <t>イジョウ</t>
    </rPh>
    <rPh sb="15" eb="17">
      <t>ミマン</t>
    </rPh>
    <phoneticPr fontId="5"/>
  </si>
  <si>
    <t>中等度肥満30%以上40%未満</t>
    <rPh sb="0" eb="2">
      <t>チュウトウ</t>
    </rPh>
    <rPh sb="2" eb="3">
      <t>ド</t>
    </rPh>
    <rPh sb="3" eb="5">
      <t>ヒマン</t>
    </rPh>
    <rPh sb="8" eb="10">
      <t>イジョウ</t>
    </rPh>
    <rPh sb="13" eb="15">
      <t>ミマン</t>
    </rPh>
    <phoneticPr fontId="5"/>
  </si>
  <si>
    <t>中等度肥満40%以上50%未満</t>
    <rPh sb="0" eb="2">
      <t>チュウトウ</t>
    </rPh>
    <rPh sb="2" eb="3">
      <t>ド</t>
    </rPh>
    <rPh sb="3" eb="5">
      <t>ヒマン</t>
    </rPh>
    <rPh sb="8" eb="10">
      <t>イジョウ</t>
    </rPh>
    <rPh sb="13" eb="15">
      <t>ミマン</t>
    </rPh>
    <phoneticPr fontId="5"/>
  </si>
  <si>
    <t>高度肥満   50%以上</t>
    <rPh sb="0" eb="2">
      <t>コウド</t>
    </rPh>
    <rPh sb="2" eb="4">
      <t>ヒマン</t>
    </rPh>
    <rPh sb="10" eb="12">
      <t>イジョウ</t>
    </rPh>
    <phoneticPr fontId="5"/>
  </si>
  <si>
    <t>年齢</t>
    <rPh sb="0" eb="2">
      <t>ネンレイ</t>
    </rPh>
    <phoneticPr fontId="2"/>
  </si>
  <si>
    <t>身長（～㎝）</t>
    <rPh sb="0" eb="2">
      <t>シンチョウ</t>
    </rPh>
    <phoneticPr fontId="2"/>
  </si>
  <si>
    <t>半角で入力⇒</t>
    <rPh sb="0" eb="2">
      <t>ハンカク</t>
    </rPh>
    <rPh sb="3" eb="5">
      <t>ニュウリョク</t>
    </rPh>
    <phoneticPr fontId="2"/>
  </si>
  <si>
    <r>
      <t xml:space="preserve">性別
</t>
    </r>
    <r>
      <rPr>
        <b/>
        <sz val="6"/>
        <color theme="1"/>
        <rFont val="游ゴシック"/>
        <family val="3"/>
        <charset val="128"/>
        <scheme val="minor"/>
      </rPr>
      <t>・男の子は１
・女の子は２</t>
    </r>
    <rPh sb="0" eb="2">
      <t>セイベツ</t>
    </rPh>
    <rPh sb="4" eb="5">
      <t>オトコ</t>
    </rPh>
    <rPh sb="6" eb="7">
      <t>コ</t>
    </rPh>
    <rPh sb="11" eb="12">
      <t>オンナ</t>
    </rPh>
    <rPh sb="13" eb="14">
      <t>コ</t>
    </rPh>
    <phoneticPr fontId="2"/>
  </si>
  <si>
    <t xml:space="preserve">区分      </t>
    <rPh sb="0" eb="2">
      <t>クブン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</si>
  <si>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 </t>
    </r>
    <r>
      <rPr>
        <sz val="8"/>
        <rFont val="ＭＳ Ｐゴシック"/>
        <family val="3"/>
        <charset val="128"/>
      </rPr>
      <t>基礎代謝量                        　　                                       　</t>
    </r>
    <rPh sb="23" eb="25">
      <t>キソ</t>
    </rPh>
    <rPh sb="25" eb="27">
      <t>タイシャ</t>
    </rPh>
    <rPh sb="27" eb="28">
      <t>リョウ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</si>
  <si>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</t>
    </r>
    <r>
      <rPr>
        <sz val="8"/>
        <rFont val="ＭＳ Ｐゴシック"/>
        <family val="3"/>
        <charset val="128"/>
      </rPr>
      <t>ｴﾈﾙｷﾞｰ蓄積量</t>
    </r>
    <rPh sb="28" eb="30">
      <t>チクセキ</t>
    </rPh>
    <rPh sb="30" eb="31">
      <t>リョウ</t>
    </rPh>
    <phoneticPr fontId="5"/>
  </si>
  <si>
    <t xml:space="preserve">                   標準体重             </t>
    <rPh sb="19" eb="21">
      <t>ヒョウジュン</t>
    </rPh>
    <rPh sb="21" eb="23">
      <t>タイジュウ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</si>
  <si>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   </t>
    </r>
    <r>
      <rPr>
        <sz val="8"/>
        <rFont val="ＭＳ Ｐゴシック"/>
        <family val="3"/>
        <charset val="128"/>
      </rPr>
      <t xml:space="preserve">基礎代謝                             基準値                                              </t>
    </r>
    <rPh sb="25" eb="27">
      <t>キソ</t>
    </rPh>
    <rPh sb="27" eb="29">
      <t>タイシャ</t>
    </rPh>
    <rPh sb="58" eb="61">
      <t>キジュンチ</t>
    </rPh>
    <phoneticPr fontId="5"/>
  </si>
  <si>
    <t>係数a</t>
    <rPh sb="0" eb="2">
      <t>ケイスウ</t>
    </rPh>
    <phoneticPr fontId="5"/>
  </si>
  <si>
    <t>係数ｂ</t>
    <rPh sb="0" eb="2">
      <t>ケイスウ</t>
    </rPh>
    <phoneticPr fontId="5"/>
  </si>
  <si>
    <t xml:space="preserve">             　　　   性別</t>
    <rPh sb="19" eb="21">
      <t>セイベツ</t>
    </rPh>
    <phoneticPr fontId="2"/>
  </si>
  <si>
    <r>
      <rPr>
        <b/>
        <sz val="6"/>
        <rFont val="ＭＳ Ｐゴシック"/>
        <family val="3"/>
        <charset val="128"/>
      </rPr>
      <t xml:space="preserve">                    </t>
    </r>
    <r>
      <rPr>
        <sz val="6"/>
        <rFont val="ＭＳ Ｐゴシック"/>
        <family val="3"/>
        <charset val="128"/>
      </rPr>
      <t>身体活動      レベル(学給）</t>
    </r>
    <rPh sb="20" eb="22">
      <t>シンタイ</t>
    </rPh>
    <rPh sb="22" eb="24">
      <t>カツドウ</t>
    </rPh>
    <rPh sb="34" eb="35">
      <t>ガク</t>
    </rPh>
    <rPh sb="35" eb="36">
      <t>キュウ</t>
    </rPh>
    <phoneticPr fontId="5"/>
  </si>
  <si>
    <t>計算してみよう！一日に必要なエネルギー量</t>
    <rPh sb="0" eb="2">
      <t>ケイサン</t>
    </rPh>
    <rPh sb="8" eb="10">
      <t>イチニチ</t>
    </rPh>
    <rPh sb="11" eb="13">
      <t>ヒツヨウ</t>
    </rPh>
    <rPh sb="19" eb="20">
      <t>リョウ</t>
    </rPh>
    <phoneticPr fontId="2"/>
  </si>
  <si>
    <t>下の表に数字を入れて計算してみよう！</t>
    <rPh sb="0" eb="1">
      <t>シタ</t>
    </rPh>
    <rPh sb="2" eb="3">
      <t>ヒョウ</t>
    </rPh>
    <rPh sb="4" eb="6">
      <t>スウジ</t>
    </rPh>
    <rPh sb="7" eb="8">
      <t>イ</t>
    </rPh>
    <rPh sb="10" eb="12">
      <t>ケイサン</t>
    </rPh>
    <phoneticPr fontId="2"/>
  </si>
  <si>
    <t>体重（～㎏）</t>
    <phoneticPr fontId="2"/>
  </si>
  <si>
    <t>標準体重（～㎏）</t>
    <rPh sb="0" eb="2">
      <t>ヒョウジュン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</si>
  <si>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</si>
  <si>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</si>
  <si>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性別</t>
    <rPh sb="1" eb="3">
      <t>セイベツ</t>
    </rPh>
    <phoneticPr fontId="2"/>
  </si>
  <si>
    <t>6～７歳</t>
    <rPh sb="3" eb="4">
      <t>サイ</t>
    </rPh>
    <phoneticPr fontId="2"/>
  </si>
  <si>
    <t>８～９歳</t>
    <rPh sb="3" eb="4">
      <t>サイ</t>
    </rPh>
    <phoneticPr fontId="2"/>
  </si>
  <si>
    <t>１０～１１歳</t>
    <rPh sb="5" eb="6">
      <t>サイ</t>
    </rPh>
    <phoneticPr fontId="2"/>
  </si>
  <si>
    <t>１２～１４歳</t>
    <rPh sb="5" eb="6">
      <t>サイ</t>
    </rPh>
    <phoneticPr fontId="2"/>
  </si>
  <si>
    <t>１５～１７歳</t>
    <rPh sb="5" eb="6">
      <t>サイ</t>
    </rPh>
    <phoneticPr fontId="2"/>
  </si>
  <si>
    <t>身体活動レベル</t>
    <rPh sb="0" eb="2">
      <t>シンタイ</t>
    </rPh>
    <rPh sb="2" eb="4">
      <t>カツドウ</t>
    </rPh>
    <phoneticPr fontId="2"/>
  </si>
  <si>
    <t>普通</t>
    <rPh sb="0" eb="2">
      <t>フツウ</t>
    </rPh>
    <phoneticPr fontId="2"/>
  </si>
  <si>
    <t>学校給食
基準量</t>
    <rPh sb="0" eb="2">
      <t>ガッコウ</t>
    </rPh>
    <rPh sb="2" eb="4">
      <t>キュウショク</t>
    </rPh>
    <rPh sb="5" eb="7">
      <t>キジュン</t>
    </rPh>
    <rPh sb="7" eb="8">
      <t>リョウ</t>
    </rPh>
    <phoneticPr fontId="2"/>
  </si>
  <si>
    <t>あなたの一日に必要なエネルギー量（kcal）</t>
    <rPh sb="4" eb="6">
      <t>イチニチ</t>
    </rPh>
    <rPh sb="7" eb="9">
      <t>ヒツヨウ</t>
    </rPh>
    <rPh sb="15" eb="16">
      <t>リョウ</t>
    </rPh>
    <phoneticPr fontId="2"/>
  </si>
  <si>
    <t>★年齢別　一日に必要なエネルギー量（ｋｃａｌ）　平均</t>
    <rPh sb="1" eb="4">
      <t>ネンレイベツ</t>
    </rPh>
    <rPh sb="5" eb="7">
      <t>イチニチ</t>
    </rPh>
    <rPh sb="8" eb="10">
      <t>ヒツヨウ</t>
    </rPh>
    <rPh sb="16" eb="17">
      <t>リョウ</t>
    </rPh>
    <rPh sb="24" eb="26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</si>
</sst>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0_ "/>
    <numFmt numFmtId="178" formatCode="0.00_ "/>
    <numFmt numFmtId="179" formatCode="0.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8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b/>
      <sz val="6"/>
      <color indexed="6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theme="1"/>
      <name val="HGS創英角ﾎﾟｯﾌﾟ体"/>
      <family val="3"/>
      <charset val="128"/>
    </font>
    <font>
      <sz val="14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9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38" fontId="0" fillId="0" borderId="0" xfId="1" applyFont="1" applyAlignment="1"/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76" fontId="7" fillId="0" borderId="2" xfId="0" applyNumberFormat="1" applyFont="1" applyBorder="1" applyAlignment="1">
      <alignment horizontal="centerContinuous"/>
    </xf>
    <xf numFmtId="176" fontId="7" fillId="0" borderId="3" xfId="0" applyNumberFormat="1" applyFont="1" applyBorder="1" applyAlignment="1">
      <alignment horizontal="centerContinuous"/>
    </xf>
    <xf numFmtId="176" fontId="8" fillId="0" borderId="4" xfId="0" applyNumberFormat="1" applyFont="1" applyBorder="1" applyAlignment="1">
      <alignment horizontal="center" wrapText="1"/>
    </xf>
    <xf numFmtId="0" fontId="6" fillId="0" borderId="0" xfId="2" applyFont="1"/>
    <xf numFmtId="38" fontId="9" fillId="0" borderId="0" xfId="1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4" xfId="1" applyFont="1" applyBorder="1" applyAlignment="1">
      <alignment horizontal="left" vertical="center"/>
    </xf>
    <xf numFmtId="38" fontId="10" fillId="0" borderId="1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9" fillId="0" borderId="0" xfId="0" applyFont="1" applyAlignment="1"/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3" xfId="0" applyFont="1" applyBorder="1" applyAlignment="1"/>
    <xf numFmtId="0" fontId="13" fillId="0" borderId="4" xfId="0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38" fontId="13" fillId="0" borderId="4" xfId="1" applyFont="1" applyBorder="1" applyAlignment="1">
      <alignment horizontal="right" vertical="center"/>
    </xf>
    <xf numFmtId="38" fontId="13" fillId="0" borderId="4" xfId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40" fontId="13" fillId="0" borderId="4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/>
    <xf numFmtId="0" fontId="12" fillId="0" borderId="3" xfId="0" applyFont="1" applyBorder="1">
      <alignment vertical="center"/>
    </xf>
    <xf numFmtId="0" fontId="13" fillId="0" borderId="6" xfId="0" applyFont="1" applyBorder="1">
      <alignment vertical="center"/>
    </xf>
    <xf numFmtId="49" fontId="0" fillId="0" borderId="6" xfId="0" applyNumberFormat="1" applyBorder="1" applyAlignment="1"/>
    <xf numFmtId="0" fontId="0" fillId="0" borderId="6" xfId="0" applyBorder="1" applyAlignment="1"/>
    <xf numFmtId="0" fontId="13" fillId="0" borderId="0" xfId="0" applyFo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right" vertical="center"/>
    </xf>
    <xf numFmtId="38" fontId="15" fillId="0" borderId="0" xfId="1" applyFont="1" applyBorder="1" applyAlignment="1"/>
    <xf numFmtId="0" fontId="16" fillId="0" borderId="0" xfId="0" applyFont="1" applyAlignment="1"/>
    <xf numFmtId="0" fontId="17" fillId="0" borderId="7" xfId="0" applyFont="1" applyBorder="1" applyAlignment="1"/>
    <xf numFmtId="38" fontId="0" fillId="0" borderId="7" xfId="0" applyNumberFormat="1" applyBorder="1" applyAlignment="1"/>
    <xf numFmtId="38" fontId="15" fillId="0" borderId="0" xfId="1" applyFont="1" applyAlignment="1"/>
    <xf numFmtId="0" fontId="0" fillId="0" borderId="7" xfId="0" applyBorder="1" applyAlignment="1"/>
    <xf numFmtId="0" fontId="17" fillId="0" borderId="7" xfId="0" applyFont="1" applyBorder="1" applyAlignment="1">
      <alignment horizontal="right"/>
    </xf>
    <xf numFmtId="38" fontId="18" fillId="0" borderId="7" xfId="0" applyNumberFormat="1" applyFont="1" applyBorder="1" applyAlignment="1"/>
    <xf numFmtId="0" fontId="19" fillId="0" borderId="0" xfId="0" applyFont="1">
      <alignment vertical="center"/>
    </xf>
    <xf numFmtId="38" fontId="17" fillId="2" borderId="9" xfId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2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7" xfId="0" applyBorder="1">
      <alignment vertical="center"/>
    </xf>
    <xf numFmtId="1" fontId="0" fillId="0" borderId="7" xfId="0" applyNumberFormat="1" applyBorder="1">
      <alignment vertical="center"/>
    </xf>
    <xf numFmtId="1" fontId="19" fillId="0" borderId="8" xfId="0" applyNumberFormat="1" applyFont="1" applyBorder="1">
      <alignment vertical="center"/>
    </xf>
    <xf numFmtId="0" fontId="19" fillId="3" borderId="11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5" fillId="2" borderId="9" xfId="0" applyFont="1" applyFill="1" applyBorder="1" applyAlignment="1">
      <alignment horizontal="center" vertical="top" wrapText="1"/>
    </xf>
    <xf numFmtId="0" fontId="23" fillId="0" borderId="0" xfId="0" applyFont="1">
      <alignment vertical="center"/>
    </xf>
    <xf numFmtId="0" fontId="0" fillId="0" borderId="0" xfId="0" applyFill="1" applyBorder="1">
      <alignment vertical="center"/>
    </xf>
    <xf numFmtId="0" fontId="19" fillId="3" borderId="7" xfId="0" applyFont="1" applyFill="1" applyBorder="1" applyAlignment="1">
      <alignment vertical="center"/>
    </xf>
    <xf numFmtId="179" fontId="19" fillId="0" borderId="8" xfId="0" applyNumberFormat="1" applyFont="1" applyBorder="1">
      <alignment vertical="center"/>
    </xf>
    <xf numFmtId="0" fontId="19" fillId="4" borderId="12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" fontId="0" fillId="0" borderId="7" xfId="0" applyNumberFormat="1" applyFill="1" applyBorder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浦山先生体重測定" xfId="2"/>
  </cellStyles>
  <dxfs count="0"/>
  <tableStyles count="0" defaultTableStyle="TableStyleMedium2" defaultPivotStyle="PivotStyleLight16"/>
  <colors>
    <mruColors>
      <color rgb="FFFFFF99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52880</xdr:colOff>
      <xdr:row>1</xdr:row>
      <xdr:rowOff>37224</xdr:rowOff>
    </xdr:from>
    <xdr:to>
      <xdr:col>46</xdr:col>
      <xdr:colOff>57151</xdr:colOff>
      <xdr:row>2</xdr:row>
      <xdr:rowOff>437930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49530" y="8200149"/>
          <a:ext cx="13729796" cy="4959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accent1"/>
              </a:solidFill>
            </a:rPr>
            <a:t>----------------------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--------------------------------------------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                           </a:t>
          </a:r>
          <a:r>
            <a:rPr kumimoji="1" lang="en-US" altLang="ja-JP" sz="1100" b="1">
              <a:solidFill>
                <a:schemeClr val="accent1"/>
              </a:solidFill>
            </a:rPr>
            <a:t>  </a:t>
          </a:r>
          <a:r>
            <a:rPr kumimoji="1" lang="ja-JP" altLang="en-US" sz="1100" b="1">
              <a:solidFill>
                <a:schemeClr val="accent1"/>
              </a:solidFill>
            </a:rPr>
            <a:t>規    定    値                                                    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</a:t>
          </a:r>
          <a:r>
            <a:rPr kumimoji="1" lang="en-US" altLang="ja-JP" sz="1100" b="1">
              <a:solidFill>
                <a:schemeClr val="accent1"/>
              </a:solidFill>
            </a:rPr>
            <a:t>---------------------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--------------------------------------</a:t>
          </a:r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454705</xdr:colOff>
      <xdr:row>5</xdr:row>
      <xdr:rowOff>222505</xdr:rowOff>
    </xdr:from>
    <xdr:to>
      <xdr:col>5</xdr:col>
      <xdr:colOff>333866</xdr:colOff>
      <xdr:row>9</xdr:row>
      <xdr:rowOff>117835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26638" y="1990031"/>
          <a:ext cx="1627048" cy="1152237"/>
        </a:xfrm>
        <a:prstGeom prst="wedgeRoundRectCallout">
          <a:avLst>
            <a:gd name="adj1" fmla="val 72675"/>
            <a:gd name="adj2" fmla="val -6374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体重は、今の体重でも良いですが、理想の体重を入れても良いです。</a:t>
          </a:r>
        </a:p>
      </xdr:txBody>
    </xdr:sp>
    <xdr:clientData/>
  </xdr:twoCellAnchor>
  <xdr:twoCellAnchor>
    <xdr:from>
      <xdr:col>18</xdr:col>
      <xdr:colOff>140693</xdr:colOff>
      <xdr:row>2</xdr:row>
      <xdr:rowOff>95364</xdr:rowOff>
    </xdr:from>
    <xdr:to>
      <xdr:col>22</xdr:col>
      <xdr:colOff>31880</xdr:colOff>
      <xdr:row>11</xdr:row>
      <xdr:rowOff>39278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26621" y="733637"/>
          <a:ext cx="2130053" cy="2801414"/>
        </a:xfrm>
        <a:prstGeom prst="wedgeRoundRectCallout">
          <a:avLst>
            <a:gd name="adj1" fmla="val -72951"/>
            <a:gd name="adj2" fmla="val -21518"/>
            <a:gd name="adj3" fmla="val 16667"/>
          </a:avLst>
        </a:prstGeom>
        <a:solidFill>
          <a:srgbClr val="FFFF99"/>
        </a:solidFill>
        <a:ln>
          <a:solidFill>
            <a:srgbClr val="FFFF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注意</a:t>
          </a:r>
          <a:endParaRPr kumimoji="1" lang="en-US" altLang="ja-JP" sz="1100"/>
        </a:p>
        <a:p>
          <a:pPr algn="l"/>
          <a:r>
            <a:rPr kumimoji="1" lang="ja-JP" altLang="en-US" sz="1100"/>
            <a:t>①普通の生活をした時のめやす量です。激しく運動をした場合は、もっと必要になります。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②やせ傾向、肥満傾向の人は、エネルギー量を調整する必要があります。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詳しくは、学校の栄養教諭に相談してください。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294587</xdr:colOff>
      <xdr:row>5</xdr:row>
      <xdr:rowOff>127655</xdr:rowOff>
    </xdr:from>
    <xdr:to>
      <xdr:col>1</xdr:col>
      <xdr:colOff>746288</xdr:colOff>
      <xdr:row>7</xdr:row>
      <xdr:rowOff>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587" y="1787165"/>
          <a:ext cx="1414021" cy="648093"/>
        </a:xfrm>
        <a:prstGeom prst="wedgeRoundRectCallout">
          <a:avLst>
            <a:gd name="adj1" fmla="val 18962"/>
            <a:gd name="adj2" fmla="val -6291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対象年齢は</a:t>
          </a:r>
          <a:endParaRPr kumimoji="1" lang="en-US" altLang="ja-JP" sz="1100"/>
        </a:p>
        <a:p>
          <a:pPr algn="l"/>
          <a:r>
            <a:rPr kumimoji="1" lang="ja-JP" altLang="en-US" sz="1100"/>
            <a:t>６歳～１７歳です。</a:t>
          </a:r>
        </a:p>
      </xdr:txBody>
    </xdr:sp>
    <xdr:clientData/>
  </xdr:twoCellAnchor>
  <xdr:twoCellAnchor>
    <xdr:from>
      <xdr:col>6</xdr:col>
      <xdr:colOff>392781</xdr:colOff>
      <xdr:row>11</xdr:row>
      <xdr:rowOff>147293</xdr:rowOff>
    </xdr:from>
    <xdr:to>
      <xdr:col>7</xdr:col>
      <xdr:colOff>2307602</xdr:colOff>
      <xdr:row>14</xdr:row>
      <xdr:rowOff>117835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86544" y="3643066"/>
          <a:ext cx="2386161" cy="657913"/>
        </a:xfrm>
        <a:prstGeom prst="wedgeRoundRectCallout">
          <a:avLst>
            <a:gd name="adj1" fmla="val -62155"/>
            <a:gd name="adj2" fmla="val -279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給食では、１日の１／３の量を摂取出来るように計算しています。</a:t>
          </a:r>
        </a:p>
      </xdr:txBody>
    </xdr:sp>
    <xdr:clientData/>
  </xdr:twoCellAnchor>
  <xdr:twoCellAnchor editAs="oneCell">
    <xdr:from>
      <xdr:col>7</xdr:col>
      <xdr:colOff>333867</xdr:colOff>
      <xdr:row>15</xdr:row>
      <xdr:rowOff>31702</xdr:rowOff>
    </xdr:from>
    <xdr:to>
      <xdr:col>7</xdr:col>
      <xdr:colOff>1806805</xdr:colOff>
      <xdr:row>19</xdr:row>
      <xdr:rowOff>186504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8970" y="4450516"/>
          <a:ext cx="1472938" cy="10974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"/>
  <sheetViews>
    <sheetView tabSelected="1" topLeftCell="A10" zoomScale="97" zoomScaleNormal="120" workbookViewId="0">
      <selection activeCell="B8" sqref="B8"/>
    </sheetView>
  </sheetViews>
  <sheetFormatPr defaultRowHeight="18.75" x14ac:dyDescent="0.4"/>
  <cols>
    <col min="1" max="1" width="12.625" customWidth="1"/>
    <col min="2" max="2" width="14.625" customWidth="1"/>
    <col min="3" max="3" width="11.5" customWidth="1"/>
    <col min="4" max="4" width="7.125" hidden="1" customWidth="1"/>
    <col min="5" max="6" width="11.5" customWidth="1"/>
    <col min="7" max="7" width="6.125" customWidth="1"/>
    <col min="8" max="8" width="36.625" customWidth="1"/>
    <col min="9" max="9" width="5.625" customWidth="1"/>
    <col min="10" max="18" width="5.625" hidden="1" customWidth="1"/>
    <col min="19" max="20" width="5.625" customWidth="1"/>
    <col min="28" max="28" width="5.625" customWidth="1"/>
    <col min="29" max="50" width="5.625" hidden="1" customWidth="1"/>
  </cols>
  <sheetData>
    <row r="1" spans="1:51" ht="12" customHeight="1" x14ac:dyDescent="0.4"/>
    <row r="2" spans="1:51" ht="37.5" customHeight="1" x14ac:dyDescent="0.4">
      <c r="B2" s="74" t="s">
        <v>115</v>
      </c>
      <c r="C2" s="74"/>
      <c r="D2" s="74"/>
      <c r="E2" s="74"/>
      <c r="F2" s="74"/>
    </row>
    <row r="3" spans="1:51" ht="27" customHeight="1" x14ac:dyDescent="0.4">
      <c r="B3" s="81" t="s">
        <v>116</v>
      </c>
      <c r="C3" s="81"/>
      <c r="D3" s="79"/>
      <c r="E3" s="79"/>
      <c r="AC3" s="1"/>
      <c r="AD3" s="1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1"/>
      <c r="AU3" s="1"/>
      <c r="AV3" s="1"/>
      <c r="AW3" s="1"/>
      <c r="AX3" s="1"/>
      <c r="AY3" s="1"/>
    </row>
    <row r="4" spans="1:51" ht="42.75" customHeight="1" thickBot="1" x14ac:dyDescent="0.45">
      <c r="B4" s="76" t="s">
        <v>102</v>
      </c>
      <c r="C4" s="70" t="s">
        <v>105</v>
      </c>
      <c r="D4" s="69"/>
      <c r="E4" s="76" t="s">
        <v>103</v>
      </c>
      <c r="F4" s="76" t="s">
        <v>117</v>
      </c>
      <c r="G4" s="60"/>
      <c r="H4" s="78" t="s">
        <v>130</v>
      </c>
      <c r="J4" s="61" t="s">
        <v>107</v>
      </c>
      <c r="K4" s="73" t="s">
        <v>114</v>
      </c>
      <c r="L4" s="62" t="s">
        <v>108</v>
      </c>
      <c r="M4" s="62" t="s">
        <v>113</v>
      </c>
      <c r="N4" s="63" t="s">
        <v>106</v>
      </c>
      <c r="O4" s="62" t="s">
        <v>109</v>
      </c>
      <c r="P4" s="62" t="s">
        <v>110</v>
      </c>
      <c r="Q4" s="63" t="s">
        <v>111</v>
      </c>
      <c r="R4" s="63" t="s">
        <v>112</v>
      </c>
      <c r="AC4" s="4" t="s">
        <v>0</v>
      </c>
      <c r="AD4" s="5"/>
      <c r="AE4" s="5"/>
      <c r="AF4" s="6"/>
      <c r="AG4" s="1"/>
      <c r="AH4" s="7" t="s">
        <v>1</v>
      </c>
      <c r="AI4" s="8"/>
      <c r="AJ4" s="8"/>
      <c r="AK4" s="8"/>
      <c r="AL4" s="9"/>
      <c r="AM4" s="9"/>
      <c r="AN4" s="10"/>
      <c r="AO4" s="11" t="s">
        <v>2</v>
      </c>
      <c r="AP4" s="12" t="s">
        <v>3</v>
      </c>
      <c r="AQ4" s="13"/>
      <c r="AR4" s="13"/>
      <c r="AS4" s="13"/>
      <c r="AT4" s="1"/>
      <c r="AU4" s="1"/>
      <c r="AV4" s="1"/>
      <c r="AW4" s="1"/>
      <c r="AX4" s="1"/>
      <c r="AY4" s="1"/>
    </row>
    <row r="5" spans="1:51" ht="19.5" thickBot="1" x14ac:dyDescent="0.45">
      <c r="A5" s="80" t="s">
        <v>104</v>
      </c>
      <c r="B5" s="66">
        <v>14</v>
      </c>
      <c r="C5" s="72">
        <v>1</v>
      </c>
      <c r="D5" s="71"/>
      <c r="E5" s="67">
        <v>175</v>
      </c>
      <c r="F5" s="66">
        <v>61.9</v>
      </c>
      <c r="H5" s="68">
        <f>IF(E5="","",(J5*K5+L5))</f>
        <v>3282.1299999999997</v>
      </c>
      <c r="J5">
        <f>IF($E5="","",P5*F5)</f>
        <v>1918.8999999999999</v>
      </c>
      <c r="K5" s="64">
        <f>IF($E5="","",VLOOKUP($N5,$AG$6:$AO$31,9,FALSE))</f>
        <v>1.7</v>
      </c>
      <c r="L5">
        <f>IF($E5="","",VLOOKUP($N5,$AG$6:$AO$31,5,FALSE))</f>
        <v>20</v>
      </c>
      <c r="M5" s="66" t="str">
        <f>IF(C5=1,"男",IF(C5=2,"女"))</f>
        <v>男</v>
      </c>
      <c r="N5" t="str">
        <f>B5&amp;M5</f>
        <v>14男</v>
      </c>
      <c r="O5" s="65">
        <f>IF(E5="","",(Q5*E5-R5))</f>
        <v>61.905000000000001</v>
      </c>
      <c r="P5" s="65">
        <f>IF($E5="","",VLOOKUP($N5,$AG$6:$AO$31,2,FALSE))</f>
        <v>31</v>
      </c>
      <c r="Q5">
        <f>IF($E5="","",VLOOKUP($N5,$AC$6:$AE$31,2,FALSE))</f>
        <v>0.83199999999999996</v>
      </c>
      <c r="R5">
        <f>IF($E5="","",VLOOKUP($N5,$AC$6:$AE$31,3,FALSE))</f>
        <v>83.694999999999993</v>
      </c>
      <c r="AC5" s="14" t="s">
        <v>4</v>
      </c>
      <c r="AD5" s="15" t="s">
        <v>5</v>
      </c>
      <c r="AE5" s="15" t="s">
        <v>6</v>
      </c>
      <c r="AF5" s="16"/>
      <c r="AG5" s="14" t="s">
        <v>4</v>
      </c>
      <c r="AH5" s="17" t="s">
        <v>7</v>
      </c>
      <c r="AI5" s="17" t="s">
        <v>8</v>
      </c>
      <c r="AJ5" s="18" t="s">
        <v>9</v>
      </c>
      <c r="AK5" s="19" t="s">
        <v>10</v>
      </c>
      <c r="AL5" s="18" t="s">
        <v>11</v>
      </c>
      <c r="AM5" s="18" t="s">
        <v>12</v>
      </c>
      <c r="AN5" s="20" t="s">
        <v>13</v>
      </c>
      <c r="AO5" s="21" t="s">
        <v>14</v>
      </c>
      <c r="AP5" s="22"/>
      <c r="AQ5" s="23"/>
      <c r="AR5" s="24"/>
      <c r="AS5" s="25"/>
      <c r="AT5" s="26" t="s">
        <v>15</v>
      </c>
      <c r="AU5" s="27" t="s">
        <v>16</v>
      </c>
      <c r="AV5" s="28"/>
      <c r="AW5" s="1"/>
      <c r="AX5" s="1"/>
      <c r="AY5" s="1"/>
    </row>
    <row r="6" spans="1:51" x14ac:dyDescent="0.4">
      <c r="AC6" s="29" t="s">
        <v>17</v>
      </c>
      <c r="AD6" s="30">
        <v>0.38600000000000001</v>
      </c>
      <c r="AE6" s="30">
        <v>23.699000000000002</v>
      </c>
      <c r="AF6" s="31"/>
      <c r="AG6" s="29" t="s">
        <v>17</v>
      </c>
      <c r="AH6" s="32">
        <v>54.8</v>
      </c>
      <c r="AI6" s="32">
        <v>16.2</v>
      </c>
      <c r="AJ6" s="33">
        <v>890</v>
      </c>
      <c r="AK6" s="34">
        <v>10</v>
      </c>
      <c r="AL6" s="35" t="s">
        <v>18</v>
      </c>
      <c r="AM6" s="35">
        <v>1.45</v>
      </c>
      <c r="AN6" s="35" t="s">
        <v>18</v>
      </c>
      <c r="AO6" s="36">
        <v>1.65</v>
      </c>
      <c r="AP6" s="37"/>
      <c r="AQ6" s="38">
        <v>-100</v>
      </c>
      <c r="AR6" s="39" t="s">
        <v>19</v>
      </c>
      <c r="AS6" s="40">
        <v>-30</v>
      </c>
      <c r="AT6" s="41" t="s">
        <v>20</v>
      </c>
      <c r="AU6" s="42" t="s">
        <v>21</v>
      </c>
      <c r="AV6" s="28"/>
      <c r="AW6" s="1"/>
      <c r="AX6" s="1"/>
      <c r="AY6" s="1"/>
    </row>
    <row r="7" spans="1:51" ht="42.75" customHeight="1" thickBot="1" x14ac:dyDescent="0.45">
      <c r="H7" s="78" t="s">
        <v>118</v>
      </c>
      <c r="AC7" s="29" t="s">
        <v>22</v>
      </c>
      <c r="AD7" s="30">
        <v>0.46100000000000002</v>
      </c>
      <c r="AE7" s="30">
        <v>32.381999999999998</v>
      </c>
      <c r="AF7" s="31"/>
      <c r="AG7" s="29" t="s">
        <v>22</v>
      </c>
      <c r="AH7" s="32">
        <v>44.3</v>
      </c>
      <c r="AI7" s="32">
        <v>22</v>
      </c>
      <c r="AJ7" s="33">
        <v>980</v>
      </c>
      <c r="AK7" s="34">
        <v>15</v>
      </c>
      <c r="AL7" s="35">
        <v>1.35</v>
      </c>
      <c r="AM7" s="35">
        <v>1.55</v>
      </c>
      <c r="AN7" s="35">
        <v>1.75</v>
      </c>
      <c r="AO7" s="36">
        <v>1.65</v>
      </c>
      <c r="AP7" s="37"/>
      <c r="AQ7" s="38">
        <v>-29.999999999999901</v>
      </c>
      <c r="AR7" s="39" t="s">
        <v>19</v>
      </c>
      <c r="AS7" s="40">
        <v>-20</v>
      </c>
      <c r="AT7" s="41" t="s">
        <v>23</v>
      </c>
      <c r="AU7" s="43" t="s">
        <v>24</v>
      </c>
      <c r="AV7" s="28"/>
      <c r="AW7" s="1"/>
      <c r="AX7" s="1"/>
      <c r="AY7" s="1"/>
    </row>
    <row r="8" spans="1:51" ht="19.5" thickBot="1" x14ac:dyDescent="0.45">
      <c r="H8" s="77">
        <f>O5</f>
        <v>61.905000000000001</v>
      </c>
      <c r="AC8" s="29" t="s">
        <v>25</v>
      </c>
      <c r="AD8" s="30">
        <v>0.51300000000000001</v>
      </c>
      <c r="AE8" s="30">
        <v>38.878</v>
      </c>
      <c r="AF8" s="31"/>
      <c r="AG8" s="29" t="s">
        <v>25</v>
      </c>
      <c r="AH8" s="32">
        <v>44.3</v>
      </c>
      <c r="AI8" s="32">
        <v>22</v>
      </c>
      <c r="AJ8" s="33">
        <v>980</v>
      </c>
      <c r="AK8" s="34">
        <v>15</v>
      </c>
      <c r="AL8" s="35">
        <v>1.35</v>
      </c>
      <c r="AM8" s="35">
        <v>1.55</v>
      </c>
      <c r="AN8" s="35">
        <v>1.75</v>
      </c>
      <c r="AO8" s="36">
        <v>1.65</v>
      </c>
      <c r="AP8" s="37"/>
      <c r="AQ8" s="38">
        <v>-19.999999999999901</v>
      </c>
      <c r="AR8" s="39" t="s">
        <v>19</v>
      </c>
      <c r="AS8" s="40">
        <v>20</v>
      </c>
      <c r="AT8" s="41" t="s">
        <v>26</v>
      </c>
      <c r="AU8" s="44" t="s">
        <v>27</v>
      </c>
      <c r="AV8" s="28"/>
      <c r="AW8" s="1"/>
    </row>
    <row r="9" spans="1:51" x14ac:dyDescent="0.4">
      <c r="AC9" s="29" t="s">
        <v>28</v>
      </c>
      <c r="AD9" s="30">
        <v>0.59199999999999997</v>
      </c>
      <c r="AE9" s="30">
        <v>48.804000000000002</v>
      </c>
      <c r="AF9" s="31"/>
      <c r="AG9" s="29" t="s">
        <v>28</v>
      </c>
      <c r="AH9" s="32">
        <v>40.799999999999997</v>
      </c>
      <c r="AI9" s="32">
        <v>27.5</v>
      </c>
      <c r="AJ9" s="33">
        <v>1120</v>
      </c>
      <c r="AK9" s="34">
        <v>25</v>
      </c>
      <c r="AL9" s="35">
        <v>1.4</v>
      </c>
      <c r="AM9" s="35">
        <v>1.6</v>
      </c>
      <c r="AN9" s="35">
        <v>1.8</v>
      </c>
      <c r="AO9" s="36">
        <v>1.7</v>
      </c>
      <c r="AP9" s="37"/>
      <c r="AQ9" s="38">
        <v>20</v>
      </c>
      <c r="AR9" s="39" t="s">
        <v>19</v>
      </c>
      <c r="AS9" s="40">
        <v>30</v>
      </c>
      <c r="AT9" s="41" t="s">
        <v>29</v>
      </c>
      <c r="AU9" s="44" t="s">
        <v>30</v>
      </c>
      <c r="AV9" s="45"/>
      <c r="AW9" s="1"/>
      <c r="AX9" s="1"/>
      <c r="AY9" s="1"/>
    </row>
    <row r="10" spans="1:51" x14ac:dyDescent="0.4">
      <c r="AC10" s="29" t="s">
        <v>31</v>
      </c>
      <c r="AD10" s="30">
        <v>0.68700000000000006</v>
      </c>
      <c r="AE10" s="30">
        <v>61.39</v>
      </c>
      <c r="AF10" s="31"/>
      <c r="AG10" s="29" t="s">
        <v>31</v>
      </c>
      <c r="AH10" s="32">
        <v>40.799999999999997</v>
      </c>
      <c r="AI10" s="32">
        <v>27.5</v>
      </c>
      <c r="AJ10" s="33">
        <v>1120</v>
      </c>
      <c r="AK10" s="34">
        <v>25</v>
      </c>
      <c r="AL10" s="35">
        <v>1.4</v>
      </c>
      <c r="AM10" s="35">
        <v>1.6</v>
      </c>
      <c r="AN10" s="35">
        <v>1.8</v>
      </c>
      <c r="AO10" s="36">
        <v>1.7</v>
      </c>
      <c r="AP10" s="37"/>
      <c r="AQ10" s="38">
        <v>30</v>
      </c>
      <c r="AR10" s="39" t="s">
        <v>19</v>
      </c>
      <c r="AS10" s="40">
        <v>50</v>
      </c>
      <c r="AT10" s="41" t="s">
        <v>32</v>
      </c>
      <c r="AU10" s="44" t="s">
        <v>33</v>
      </c>
      <c r="AV10" s="28"/>
      <c r="AX10" s="1"/>
      <c r="AY10" s="1"/>
    </row>
    <row r="11" spans="1:51" x14ac:dyDescent="0.4">
      <c r="B11" s="75" t="s">
        <v>131</v>
      </c>
      <c r="C11" s="75"/>
      <c r="AC11" s="29" t="s">
        <v>34</v>
      </c>
      <c r="AD11" s="30">
        <v>0.752</v>
      </c>
      <c r="AE11" s="30">
        <v>70.460999999999999</v>
      </c>
      <c r="AF11" s="31"/>
      <c r="AG11" s="29" t="s">
        <v>34</v>
      </c>
      <c r="AH11" s="32">
        <v>37.4</v>
      </c>
      <c r="AI11" s="32">
        <v>35.5</v>
      </c>
      <c r="AJ11" s="33">
        <v>1330</v>
      </c>
      <c r="AK11" s="34">
        <v>35</v>
      </c>
      <c r="AL11" s="35">
        <v>1.45</v>
      </c>
      <c r="AM11" s="35">
        <v>1.65</v>
      </c>
      <c r="AN11" s="35">
        <v>1.85</v>
      </c>
      <c r="AO11" s="36">
        <v>1.7</v>
      </c>
      <c r="AP11" s="37"/>
      <c r="AQ11" s="38">
        <v>50</v>
      </c>
      <c r="AR11" s="39" t="s">
        <v>19</v>
      </c>
      <c r="AS11" s="40"/>
      <c r="AT11" s="41" t="s">
        <v>35</v>
      </c>
      <c r="AU11" s="44" t="s">
        <v>36</v>
      </c>
      <c r="AV11" s="28"/>
      <c r="AW11" s="1"/>
      <c r="AX11" s="1"/>
      <c r="AY11" s="1"/>
    </row>
    <row r="12" spans="1:51" ht="17.25" customHeight="1" x14ac:dyDescent="0.4">
      <c r="B12" s="83" t="s">
        <v>121</v>
      </c>
      <c r="C12" s="83" t="s">
        <v>119</v>
      </c>
      <c r="D12" s="84"/>
      <c r="E12" s="84" t="s">
        <v>120</v>
      </c>
      <c r="F12" s="89" t="s">
        <v>129</v>
      </c>
      <c r="AC12" s="29" t="s">
        <v>37</v>
      </c>
      <c r="AD12" s="30">
        <v>0.78200000000000003</v>
      </c>
      <c r="AE12" s="30">
        <v>75.105999999999995</v>
      </c>
      <c r="AF12" s="31"/>
      <c r="AG12" s="29" t="s">
        <v>37</v>
      </c>
      <c r="AH12" s="32">
        <v>37.4</v>
      </c>
      <c r="AI12" s="32">
        <v>35.5</v>
      </c>
      <c r="AJ12" s="33">
        <v>1330</v>
      </c>
      <c r="AK12" s="34">
        <v>35</v>
      </c>
      <c r="AL12" s="35">
        <v>1.45</v>
      </c>
      <c r="AM12" s="35">
        <v>1.65</v>
      </c>
      <c r="AN12" s="35">
        <v>1.85</v>
      </c>
      <c r="AO12" s="36">
        <v>1.7</v>
      </c>
      <c r="AP12" s="37"/>
      <c r="AQ12" s="46"/>
      <c r="AR12" s="46"/>
      <c r="AS12" s="46"/>
      <c r="AT12" s="46"/>
      <c r="AU12" s="47"/>
      <c r="AV12" s="48"/>
      <c r="AW12" s="1"/>
      <c r="AX12" s="1"/>
      <c r="AY12" s="1"/>
    </row>
    <row r="13" spans="1:51" x14ac:dyDescent="0.4">
      <c r="B13" s="82" t="s">
        <v>127</v>
      </c>
      <c r="C13" s="87" t="s">
        <v>128</v>
      </c>
      <c r="D13" s="88"/>
      <c r="E13" s="88" t="s">
        <v>128</v>
      </c>
      <c r="F13" s="89"/>
      <c r="AC13" s="29" t="s">
        <v>38</v>
      </c>
      <c r="AD13" s="30">
        <v>0.78300000000000003</v>
      </c>
      <c r="AE13" s="30">
        <v>75.641999999999996</v>
      </c>
      <c r="AF13" s="31"/>
      <c r="AG13" s="29" t="s">
        <v>38</v>
      </c>
      <c r="AH13" s="32">
        <v>31</v>
      </c>
      <c r="AI13" s="32">
        <v>48</v>
      </c>
      <c r="AJ13" s="33">
        <v>1490</v>
      </c>
      <c r="AK13" s="34">
        <v>20</v>
      </c>
      <c r="AL13" s="35">
        <v>1.45</v>
      </c>
      <c r="AM13" s="35">
        <v>1.65</v>
      </c>
      <c r="AN13" s="35">
        <v>1.85</v>
      </c>
      <c r="AO13" s="36">
        <v>1.7</v>
      </c>
      <c r="AP13" s="37"/>
      <c r="AQ13" s="37"/>
      <c r="AR13" s="37"/>
      <c r="AS13" s="37"/>
      <c r="AT13" s="37"/>
      <c r="AU13" s="1"/>
      <c r="AV13" s="1"/>
      <c r="AW13" s="1"/>
      <c r="AX13" s="1"/>
      <c r="AY13" s="1"/>
    </row>
    <row r="14" spans="1:51" x14ac:dyDescent="0.4">
      <c r="B14" s="82" t="s">
        <v>122</v>
      </c>
      <c r="C14" s="88">
        <v>1550</v>
      </c>
      <c r="D14" s="88"/>
      <c r="E14" s="88">
        <v>1450</v>
      </c>
      <c r="F14" s="88">
        <v>530</v>
      </c>
      <c r="AC14" s="29" t="s">
        <v>39</v>
      </c>
      <c r="AD14" s="30">
        <v>0.81499999999999995</v>
      </c>
      <c r="AE14" s="30">
        <v>81.347999999999999</v>
      </c>
      <c r="AF14" s="31"/>
      <c r="AG14" s="29" t="s">
        <v>39</v>
      </c>
      <c r="AH14" s="32">
        <v>31</v>
      </c>
      <c r="AI14" s="32">
        <v>48</v>
      </c>
      <c r="AJ14" s="33">
        <v>1490</v>
      </c>
      <c r="AK14" s="34">
        <v>20</v>
      </c>
      <c r="AL14" s="35">
        <v>1.45</v>
      </c>
      <c r="AM14" s="35">
        <v>1.65</v>
      </c>
      <c r="AN14" s="35">
        <v>1.85</v>
      </c>
      <c r="AO14" s="36">
        <v>1.7</v>
      </c>
      <c r="AP14" s="37"/>
      <c r="AQ14" s="37"/>
      <c r="AR14" s="37"/>
      <c r="AS14" s="37"/>
      <c r="AT14" s="37"/>
      <c r="AU14" s="1"/>
      <c r="AV14" s="1"/>
      <c r="AW14" s="1"/>
      <c r="AX14" s="1"/>
      <c r="AY14" s="1"/>
    </row>
    <row r="15" spans="1:51" x14ac:dyDescent="0.4">
      <c r="B15" s="66" t="s">
        <v>123</v>
      </c>
      <c r="C15" s="88">
        <v>1850</v>
      </c>
      <c r="D15" s="88"/>
      <c r="E15" s="88">
        <v>1700</v>
      </c>
      <c r="F15" s="88">
        <v>650</v>
      </c>
      <c r="AC15" s="29" t="s">
        <v>40</v>
      </c>
      <c r="AD15" s="30">
        <v>0.83199999999999996</v>
      </c>
      <c r="AE15" s="30">
        <v>83.694999999999993</v>
      </c>
      <c r="AF15" s="31"/>
      <c r="AG15" s="29" t="s">
        <v>40</v>
      </c>
      <c r="AH15" s="32">
        <v>31</v>
      </c>
      <c r="AI15" s="32">
        <v>48</v>
      </c>
      <c r="AJ15" s="33">
        <v>1490</v>
      </c>
      <c r="AK15" s="34">
        <v>20</v>
      </c>
      <c r="AL15" s="35">
        <v>1.45</v>
      </c>
      <c r="AM15" s="35">
        <v>1.65</v>
      </c>
      <c r="AN15" s="35">
        <v>1.85</v>
      </c>
      <c r="AO15" s="36">
        <v>1.7</v>
      </c>
      <c r="AP15" s="37"/>
      <c r="AQ15" s="37"/>
      <c r="AR15" s="37"/>
      <c r="AS15" s="37"/>
      <c r="AT15" s="37"/>
      <c r="AU15" s="1"/>
      <c r="AV15" s="1"/>
      <c r="AW15" s="1"/>
      <c r="AX15" s="1"/>
      <c r="AY15" s="1"/>
    </row>
    <row r="16" spans="1:51" x14ac:dyDescent="0.4">
      <c r="B16" s="66" t="s">
        <v>124</v>
      </c>
      <c r="C16" s="88">
        <v>2250</v>
      </c>
      <c r="D16" s="88"/>
      <c r="E16" s="88">
        <v>2100</v>
      </c>
      <c r="F16" s="88">
        <v>780</v>
      </c>
      <c r="AC16" s="29" t="s">
        <v>41</v>
      </c>
      <c r="AD16" s="30">
        <v>0.76600000000000001</v>
      </c>
      <c r="AE16" s="30">
        <v>70.989000000000004</v>
      </c>
      <c r="AF16" s="31"/>
      <c r="AG16" s="29" t="s">
        <v>41</v>
      </c>
      <c r="AH16" s="32">
        <v>27</v>
      </c>
      <c r="AI16" s="32">
        <v>58.4</v>
      </c>
      <c r="AJ16" s="33">
        <v>1580</v>
      </c>
      <c r="AK16" s="34">
        <v>10</v>
      </c>
      <c r="AL16" s="35">
        <v>1.55</v>
      </c>
      <c r="AM16" s="35">
        <v>1.75</v>
      </c>
      <c r="AN16" s="35">
        <v>1.95</v>
      </c>
      <c r="AO16" s="36">
        <v>1.7</v>
      </c>
      <c r="AP16" s="37"/>
      <c r="AQ16" s="37"/>
      <c r="AR16" s="37"/>
      <c r="AS16" s="37"/>
      <c r="AT16" s="37"/>
      <c r="AU16" s="1"/>
      <c r="AV16" s="1"/>
      <c r="AW16" s="1"/>
      <c r="AX16" s="1"/>
      <c r="AY16" s="1"/>
    </row>
    <row r="17" spans="2:51" x14ac:dyDescent="0.4">
      <c r="B17" s="66" t="s">
        <v>125</v>
      </c>
      <c r="C17" s="88">
        <v>2600</v>
      </c>
      <c r="D17" s="88"/>
      <c r="E17" s="88">
        <v>2400</v>
      </c>
      <c r="F17" s="88">
        <v>830</v>
      </c>
      <c r="AC17" s="29" t="s">
        <v>42</v>
      </c>
      <c r="AD17" s="30">
        <v>0.65600000000000003</v>
      </c>
      <c r="AE17" s="30">
        <v>51.822000000000003</v>
      </c>
      <c r="AF17" s="31"/>
      <c r="AG17" s="29" t="s">
        <v>42</v>
      </c>
      <c r="AH17" s="32">
        <v>27</v>
      </c>
      <c r="AI17" s="32">
        <v>58.4</v>
      </c>
      <c r="AJ17" s="33">
        <v>1580</v>
      </c>
      <c r="AK17" s="34">
        <v>10</v>
      </c>
      <c r="AL17" s="35">
        <v>1.55</v>
      </c>
      <c r="AM17" s="35">
        <v>1.75</v>
      </c>
      <c r="AN17" s="35">
        <v>1.95</v>
      </c>
      <c r="AO17" s="36">
        <v>1.7</v>
      </c>
      <c r="AP17" s="37"/>
      <c r="AQ17" s="37"/>
      <c r="AR17" s="37"/>
      <c r="AS17" s="37"/>
      <c r="AT17" s="37"/>
      <c r="AU17" s="1"/>
      <c r="AV17" s="1"/>
      <c r="AW17" s="1"/>
      <c r="AX17" s="1"/>
      <c r="AY17" s="1"/>
    </row>
    <row r="18" spans="2:51" x14ac:dyDescent="0.4">
      <c r="B18" s="66" t="s">
        <v>126</v>
      </c>
      <c r="C18" s="88">
        <v>2850</v>
      </c>
      <c r="D18" s="88"/>
      <c r="E18" s="88">
        <v>2300</v>
      </c>
      <c r="F18" s="66"/>
      <c r="AC18" s="29" t="s">
        <v>43</v>
      </c>
      <c r="AD18" s="30">
        <v>0.67200000000000004</v>
      </c>
      <c r="AE18" s="30">
        <v>53.642000000000003</v>
      </c>
      <c r="AF18" s="31"/>
      <c r="AG18" s="29" t="s">
        <v>43</v>
      </c>
      <c r="AH18" s="32">
        <v>27</v>
      </c>
      <c r="AI18" s="32">
        <v>58.4</v>
      </c>
      <c r="AJ18" s="33">
        <v>1580</v>
      </c>
      <c r="AK18" s="34">
        <v>10</v>
      </c>
      <c r="AL18" s="35">
        <v>1.55</v>
      </c>
      <c r="AM18" s="35">
        <v>1.75</v>
      </c>
      <c r="AN18" s="35">
        <v>1.95</v>
      </c>
      <c r="AO18" s="36">
        <v>1.7</v>
      </c>
      <c r="AP18" s="37"/>
      <c r="AQ18" s="37"/>
      <c r="AR18" s="37"/>
      <c r="AS18" s="37"/>
      <c r="AT18" s="37"/>
      <c r="AU18" s="1"/>
      <c r="AV18" s="1"/>
      <c r="AW18" s="1"/>
      <c r="AX18" s="1"/>
      <c r="AY18" s="1"/>
    </row>
    <row r="19" spans="2:51" x14ac:dyDescent="0.4">
      <c r="B19" s="86"/>
      <c r="C19" s="86"/>
      <c r="D19" s="86"/>
      <c r="E19" s="86"/>
      <c r="F19" s="85"/>
      <c r="AC19" s="29" t="s">
        <v>44</v>
      </c>
      <c r="AD19" s="30">
        <v>0.377</v>
      </c>
      <c r="AE19" s="30">
        <v>22.75</v>
      </c>
      <c r="AF19" s="31"/>
      <c r="AG19" s="29" t="s">
        <v>44</v>
      </c>
      <c r="AH19" s="32">
        <v>52.2</v>
      </c>
      <c r="AI19" s="32">
        <v>16.2</v>
      </c>
      <c r="AJ19" s="33">
        <v>850</v>
      </c>
      <c r="AK19" s="34">
        <v>10</v>
      </c>
      <c r="AL19" s="35" t="s">
        <v>18</v>
      </c>
      <c r="AM19" s="35">
        <v>1.45</v>
      </c>
      <c r="AN19" s="35" t="s">
        <v>18</v>
      </c>
      <c r="AO19" s="36">
        <v>1.65</v>
      </c>
      <c r="AP19" s="37"/>
      <c r="AQ19" s="37"/>
      <c r="AR19" s="37"/>
      <c r="AS19" s="37"/>
      <c r="AT19" s="37"/>
      <c r="AU19" s="1"/>
      <c r="AV19" s="1"/>
      <c r="AW19" s="1"/>
      <c r="AX19" s="1"/>
      <c r="AY19" s="1"/>
    </row>
    <row r="20" spans="2:51" x14ac:dyDescent="0.4">
      <c r="AC20" s="29" t="s">
        <v>45</v>
      </c>
      <c r="AD20" s="30">
        <v>0.45800000000000002</v>
      </c>
      <c r="AE20" s="30">
        <v>32.079000000000001</v>
      </c>
      <c r="AF20" s="31"/>
      <c r="AG20" s="29" t="s">
        <v>45</v>
      </c>
      <c r="AH20" s="32">
        <v>41.9</v>
      </c>
      <c r="AI20" s="32">
        <v>22</v>
      </c>
      <c r="AJ20" s="33">
        <v>920</v>
      </c>
      <c r="AK20" s="34">
        <v>20</v>
      </c>
      <c r="AL20" s="35">
        <v>1.35</v>
      </c>
      <c r="AM20" s="35">
        <v>1.55</v>
      </c>
      <c r="AN20" s="35">
        <v>1.75</v>
      </c>
      <c r="AO20" s="36">
        <v>1.65</v>
      </c>
      <c r="AP20" s="37"/>
      <c r="AQ20" s="37"/>
      <c r="AR20" s="37"/>
      <c r="AS20" s="37"/>
      <c r="AT20" s="37"/>
      <c r="AU20" s="1"/>
      <c r="AV20" s="1"/>
      <c r="AW20" s="1"/>
      <c r="AX20" s="1"/>
      <c r="AY20" s="1"/>
    </row>
    <row r="21" spans="2:51" x14ac:dyDescent="0.4">
      <c r="AC21" s="29" t="s">
        <v>46</v>
      </c>
      <c r="AD21" s="30">
        <v>0.50800000000000001</v>
      </c>
      <c r="AE21" s="30">
        <v>38.366999999999997</v>
      </c>
      <c r="AF21" s="31"/>
      <c r="AG21" s="29" t="s">
        <v>46</v>
      </c>
      <c r="AH21" s="32">
        <v>41.9</v>
      </c>
      <c r="AI21" s="32">
        <v>22</v>
      </c>
      <c r="AJ21" s="33">
        <v>920</v>
      </c>
      <c r="AK21" s="34">
        <v>20</v>
      </c>
      <c r="AL21" s="35">
        <v>1.35</v>
      </c>
      <c r="AM21" s="35">
        <v>1.55</v>
      </c>
      <c r="AN21" s="35">
        <v>1.75</v>
      </c>
      <c r="AO21" s="36">
        <v>1.65</v>
      </c>
      <c r="AP21" s="37"/>
      <c r="AQ21" s="37"/>
      <c r="AR21" s="37"/>
      <c r="AS21" s="37"/>
      <c r="AT21" s="37"/>
      <c r="AU21" s="1"/>
      <c r="AV21" s="1"/>
      <c r="AW21" s="1"/>
      <c r="AX21" s="1"/>
      <c r="AY21" s="1"/>
    </row>
    <row r="22" spans="2:51" x14ac:dyDescent="0.4">
      <c r="AC22" s="29" t="s">
        <v>47</v>
      </c>
      <c r="AD22" s="30">
        <v>0.56100000000000005</v>
      </c>
      <c r="AE22" s="30">
        <v>45.006</v>
      </c>
      <c r="AF22" s="31"/>
      <c r="AG22" s="29" t="s">
        <v>47</v>
      </c>
      <c r="AH22" s="32">
        <v>38.299999999999997</v>
      </c>
      <c r="AI22" s="32">
        <v>27.2</v>
      </c>
      <c r="AJ22" s="33">
        <v>1040</v>
      </c>
      <c r="AK22" s="34">
        <v>25</v>
      </c>
      <c r="AL22" s="35">
        <v>1.4</v>
      </c>
      <c r="AM22" s="35">
        <v>1.6</v>
      </c>
      <c r="AN22" s="35">
        <v>1.8</v>
      </c>
      <c r="AO22" s="36">
        <v>1.7</v>
      </c>
      <c r="AP22" s="37"/>
      <c r="AQ22" s="37"/>
      <c r="AR22" s="37"/>
      <c r="AS22" s="37"/>
      <c r="AT22" s="37"/>
      <c r="AU22" s="1"/>
      <c r="AV22" s="1"/>
      <c r="AW22" s="1"/>
      <c r="AX22" s="1"/>
      <c r="AY22" s="1"/>
    </row>
    <row r="23" spans="2:51" x14ac:dyDescent="0.4">
      <c r="AC23" s="29" t="s">
        <v>48</v>
      </c>
      <c r="AD23" s="30">
        <v>0.65200000000000002</v>
      </c>
      <c r="AE23" s="30">
        <v>56.991999999999997</v>
      </c>
      <c r="AF23" s="31"/>
      <c r="AG23" s="29" t="s">
        <v>48</v>
      </c>
      <c r="AH23" s="32">
        <v>38.299999999999997</v>
      </c>
      <c r="AI23" s="32">
        <v>27.2</v>
      </c>
      <c r="AJ23" s="33">
        <v>1040</v>
      </c>
      <c r="AK23" s="34">
        <v>25</v>
      </c>
      <c r="AL23" s="35">
        <v>1.4</v>
      </c>
      <c r="AM23" s="35">
        <v>1.6</v>
      </c>
      <c r="AN23" s="35">
        <v>1.8</v>
      </c>
      <c r="AO23" s="36">
        <v>1.7</v>
      </c>
      <c r="AP23" s="37"/>
      <c r="AQ23" s="37"/>
      <c r="AR23" s="37"/>
      <c r="AS23" s="37"/>
      <c r="AT23" s="37"/>
      <c r="AU23" s="1"/>
      <c r="AV23" s="1"/>
      <c r="AW23" s="1"/>
      <c r="AX23" s="1"/>
      <c r="AY23" s="1"/>
    </row>
    <row r="24" spans="2:51" x14ac:dyDescent="0.4">
      <c r="AC24" s="29" t="s">
        <v>49</v>
      </c>
      <c r="AD24" s="30">
        <v>0.73</v>
      </c>
      <c r="AE24" s="30">
        <v>68.090999999999994</v>
      </c>
      <c r="AF24" s="31"/>
      <c r="AG24" s="29" t="s">
        <v>49</v>
      </c>
      <c r="AH24" s="32">
        <v>34.799999999999997</v>
      </c>
      <c r="AI24" s="32">
        <v>34.5</v>
      </c>
      <c r="AJ24" s="33">
        <v>1200</v>
      </c>
      <c r="AK24" s="34">
        <v>30</v>
      </c>
      <c r="AL24" s="35">
        <v>1.45</v>
      </c>
      <c r="AM24" s="35">
        <v>1.65</v>
      </c>
      <c r="AN24" s="35">
        <v>1.85</v>
      </c>
      <c r="AO24" s="36">
        <v>1.7</v>
      </c>
      <c r="AP24" s="37"/>
      <c r="AQ24" s="37"/>
      <c r="AR24" s="37"/>
      <c r="AS24" s="37"/>
      <c r="AT24" s="37"/>
      <c r="AU24" s="1"/>
      <c r="AV24" s="1"/>
      <c r="AW24" s="1"/>
      <c r="AX24" s="1"/>
      <c r="AY24" s="1"/>
    </row>
    <row r="25" spans="2:51" x14ac:dyDescent="0.4">
      <c r="AC25" s="29" t="s">
        <v>50</v>
      </c>
      <c r="AD25" s="30">
        <v>0.80300000000000005</v>
      </c>
      <c r="AE25" s="30">
        <v>78.846000000000004</v>
      </c>
      <c r="AF25" s="31"/>
      <c r="AG25" s="29" t="s">
        <v>50</v>
      </c>
      <c r="AH25" s="32">
        <v>34.799999999999997</v>
      </c>
      <c r="AI25" s="32">
        <v>34.5</v>
      </c>
      <c r="AJ25" s="33">
        <v>1200</v>
      </c>
      <c r="AK25" s="34">
        <v>30</v>
      </c>
      <c r="AL25" s="35">
        <v>1.45</v>
      </c>
      <c r="AM25" s="35">
        <v>1.65</v>
      </c>
      <c r="AN25" s="35">
        <v>1.85</v>
      </c>
      <c r="AO25" s="36">
        <v>1.7</v>
      </c>
      <c r="AP25" s="37"/>
      <c r="AQ25" s="37"/>
      <c r="AR25" s="37"/>
      <c r="AS25" s="37"/>
      <c r="AT25" s="37"/>
      <c r="AU25" s="1"/>
      <c r="AV25" s="1"/>
      <c r="AW25" s="1"/>
      <c r="AX25" s="1"/>
      <c r="AY25" s="1"/>
    </row>
    <row r="26" spans="2:51" x14ac:dyDescent="0.4">
      <c r="AC26" s="29" t="s">
        <v>51</v>
      </c>
      <c r="AD26" s="30">
        <v>0.79600000000000004</v>
      </c>
      <c r="AE26" s="30">
        <v>76.933999999999997</v>
      </c>
      <c r="AF26" s="31"/>
      <c r="AG26" s="29" t="s">
        <v>51</v>
      </c>
      <c r="AH26" s="32">
        <v>29.6</v>
      </c>
      <c r="AI26" s="32">
        <v>46</v>
      </c>
      <c r="AJ26" s="33">
        <v>1360</v>
      </c>
      <c r="AK26" s="34">
        <v>25</v>
      </c>
      <c r="AL26" s="35">
        <v>1.45</v>
      </c>
      <c r="AM26" s="35">
        <v>1.65</v>
      </c>
      <c r="AN26" s="35">
        <v>1.85</v>
      </c>
      <c r="AO26" s="36">
        <v>1.7</v>
      </c>
      <c r="AP26" s="37"/>
      <c r="AQ26" s="37"/>
      <c r="AR26" s="37"/>
      <c r="AS26" s="37"/>
      <c r="AT26" s="37"/>
      <c r="AU26" s="1"/>
      <c r="AV26" s="1"/>
      <c r="AW26" s="1"/>
      <c r="AX26" s="1"/>
      <c r="AY26" s="1"/>
    </row>
    <row r="27" spans="2:51" x14ac:dyDescent="0.4">
      <c r="AC27" s="29" t="s">
        <v>52</v>
      </c>
      <c r="AD27" s="30">
        <v>0.65500000000000003</v>
      </c>
      <c r="AE27" s="30">
        <v>54.234000000000002</v>
      </c>
      <c r="AF27" s="31"/>
      <c r="AG27" s="29" t="s">
        <v>52</v>
      </c>
      <c r="AH27" s="32">
        <v>29.6</v>
      </c>
      <c r="AI27" s="32">
        <v>46</v>
      </c>
      <c r="AJ27" s="33">
        <v>1360</v>
      </c>
      <c r="AK27" s="34">
        <v>25</v>
      </c>
      <c r="AL27" s="35">
        <v>1.45</v>
      </c>
      <c r="AM27" s="35">
        <v>1.65</v>
      </c>
      <c r="AN27" s="35">
        <v>1.85</v>
      </c>
      <c r="AO27" s="36">
        <v>1.7</v>
      </c>
      <c r="AP27" s="49"/>
      <c r="AQ27" s="37"/>
      <c r="AR27" s="37"/>
      <c r="AS27" s="37"/>
      <c r="AT27" s="37"/>
      <c r="AV27" s="1"/>
      <c r="AW27" s="1"/>
      <c r="AX27" s="1"/>
      <c r="AY27" s="1"/>
    </row>
    <row r="28" spans="2:51" x14ac:dyDescent="0.4">
      <c r="AC28" s="29" t="s">
        <v>53</v>
      </c>
      <c r="AD28" s="30">
        <v>0.59399999999999997</v>
      </c>
      <c r="AE28" s="30">
        <v>43.264000000000003</v>
      </c>
      <c r="AF28" s="31"/>
      <c r="AG28" s="29" t="s">
        <v>53</v>
      </c>
      <c r="AH28" s="32">
        <v>29.6</v>
      </c>
      <c r="AI28" s="32">
        <v>46</v>
      </c>
      <c r="AJ28" s="33">
        <v>1360</v>
      </c>
      <c r="AK28" s="34">
        <v>25</v>
      </c>
      <c r="AL28" s="35">
        <v>1.45</v>
      </c>
      <c r="AM28" s="35">
        <v>1.65</v>
      </c>
      <c r="AN28" s="35">
        <v>1.85</v>
      </c>
      <c r="AO28" s="36">
        <v>1.7</v>
      </c>
      <c r="AP28" s="37"/>
      <c r="AQ28" s="49"/>
      <c r="AR28" s="49"/>
      <c r="AS28" s="49"/>
      <c r="AT28" s="49"/>
      <c r="AU28" s="1"/>
      <c r="AV28" s="1"/>
      <c r="AW28" s="1"/>
    </row>
    <row r="29" spans="2:51" x14ac:dyDescent="0.4">
      <c r="AC29" s="29" t="s">
        <v>54</v>
      </c>
      <c r="AD29" s="30">
        <v>0.56000000000000005</v>
      </c>
      <c r="AE29" s="30">
        <v>37.002000000000002</v>
      </c>
      <c r="AF29" s="31"/>
      <c r="AG29" s="29" t="s">
        <v>54</v>
      </c>
      <c r="AH29" s="32">
        <v>25.3</v>
      </c>
      <c r="AI29" s="32">
        <v>50.5</v>
      </c>
      <c r="AJ29" s="33">
        <v>1280</v>
      </c>
      <c r="AK29" s="34">
        <v>10</v>
      </c>
      <c r="AL29" s="35">
        <v>1.55</v>
      </c>
      <c r="AM29" s="35">
        <v>1.75</v>
      </c>
      <c r="AN29" s="35">
        <v>1.95</v>
      </c>
      <c r="AO29" s="36">
        <v>1.7</v>
      </c>
      <c r="AP29" s="37"/>
      <c r="AQ29" s="37"/>
      <c r="AR29" s="37"/>
      <c r="AS29" s="37"/>
      <c r="AT29" s="37"/>
      <c r="AU29" s="1"/>
      <c r="AW29" s="1"/>
      <c r="AX29" s="1"/>
      <c r="AY29" s="1"/>
    </row>
    <row r="30" spans="2:51" x14ac:dyDescent="0.4">
      <c r="AC30" s="29" t="s">
        <v>55</v>
      </c>
      <c r="AD30" s="30">
        <v>0.57799999999999996</v>
      </c>
      <c r="AE30" s="30">
        <v>39.057000000000002</v>
      </c>
      <c r="AF30" s="31"/>
      <c r="AG30" s="29" t="s">
        <v>55</v>
      </c>
      <c r="AH30" s="32">
        <v>25.3</v>
      </c>
      <c r="AI30" s="32">
        <v>50.6</v>
      </c>
      <c r="AJ30" s="33">
        <v>1280</v>
      </c>
      <c r="AK30" s="34">
        <v>10</v>
      </c>
      <c r="AL30" s="35">
        <v>1.55</v>
      </c>
      <c r="AM30" s="35">
        <v>1.75</v>
      </c>
      <c r="AN30" s="35">
        <v>1.95</v>
      </c>
      <c r="AO30" s="36">
        <v>1.7</v>
      </c>
      <c r="AP30" s="37"/>
      <c r="AQ30" s="37"/>
      <c r="AR30" s="37"/>
      <c r="AS30" s="37"/>
      <c r="AT30" s="37"/>
      <c r="AU30" s="1"/>
      <c r="AV30" s="1"/>
      <c r="AX30" s="1"/>
      <c r="AY30" s="1"/>
    </row>
    <row r="31" spans="2:51" x14ac:dyDescent="0.4">
      <c r="AC31" s="29" t="s">
        <v>56</v>
      </c>
      <c r="AD31" s="30">
        <v>0.59799999999999998</v>
      </c>
      <c r="AE31" s="30">
        <v>42.338999999999999</v>
      </c>
      <c r="AF31" s="31"/>
      <c r="AG31" s="29" t="s">
        <v>56</v>
      </c>
      <c r="AH31" s="32">
        <v>25.3</v>
      </c>
      <c r="AI31" s="32">
        <v>50.6</v>
      </c>
      <c r="AJ31" s="33">
        <v>1280</v>
      </c>
      <c r="AK31" s="34">
        <v>10</v>
      </c>
      <c r="AL31" s="35">
        <v>1.55</v>
      </c>
      <c r="AM31" s="35">
        <v>1.75</v>
      </c>
      <c r="AN31" s="35">
        <v>1.95</v>
      </c>
      <c r="AO31" s="36">
        <v>1.7</v>
      </c>
      <c r="AP31" s="37"/>
      <c r="AQ31" s="37"/>
      <c r="AR31" s="37"/>
      <c r="AS31" s="37"/>
      <c r="AT31" s="37"/>
      <c r="AU31" s="1"/>
      <c r="AV31" s="1"/>
      <c r="AW31" s="1"/>
      <c r="AX31" s="1"/>
      <c r="AY31" s="1"/>
    </row>
    <row r="32" spans="2:51" x14ac:dyDescent="0.4">
      <c r="AC32" s="50"/>
      <c r="AD32" s="50"/>
      <c r="AE32" s="51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2"/>
      <c r="AR32" s="52"/>
      <c r="AS32" s="52"/>
      <c r="AT32" s="1"/>
      <c r="AU32" s="1"/>
      <c r="AV32" s="1"/>
      <c r="AW32" s="1"/>
      <c r="AX32" s="1"/>
      <c r="AY32" s="1"/>
    </row>
    <row r="33" spans="29:51" x14ac:dyDescent="0.4">
      <c r="AC33" s="50"/>
      <c r="AD33" s="50"/>
      <c r="AE33" s="51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2"/>
      <c r="AR33" s="52"/>
      <c r="AS33" s="52"/>
      <c r="AT33" s="1"/>
      <c r="AU33" s="1"/>
      <c r="AV33" s="1"/>
      <c r="AW33" s="1"/>
      <c r="AX33" s="1"/>
      <c r="AY33" s="1"/>
    </row>
    <row r="34" spans="29:51" x14ac:dyDescent="0.4">
      <c r="AC34" s="53" t="s">
        <v>57</v>
      </c>
      <c r="AD34" s="53"/>
      <c r="AE34" s="51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2"/>
      <c r="AR34" s="52"/>
      <c r="AS34" s="52"/>
      <c r="AT34" s="1"/>
      <c r="AU34" s="1"/>
      <c r="AV34" s="1"/>
      <c r="AW34" s="1"/>
      <c r="AX34" s="1"/>
      <c r="AY34" s="1"/>
    </row>
    <row r="35" spans="29:51" x14ac:dyDescent="0.4">
      <c r="AC35" s="54" t="s">
        <v>58</v>
      </c>
      <c r="AD35" s="54" t="s">
        <v>59</v>
      </c>
      <c r="AE35" s="51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2"/>
      <c r="AR35" s="52"/>
      <c r="AS35" s="52"/>
      <c r="AT35" s="1"/>
      <c r="AU35" s="1"/>
      <c r="AV35" s="1"/>
      <c r="AW35" s="1"/>
      <c r="AX35" s="1"/>
      <c r="AY35" s="1"/>
    </row>
    <row r="36" spans="29:51" x14ac:dyDescent="0.4">
      <c r="AC36" s="54" t="s">
        <v>60</v>
      </c>
      <c r="AD36" s="55">
        <f>COUNTIF(__EER６,"&gt;=1")-COUNTIF(__EER６,"&gt;325")</f>
        <v>0</v>
      </c>
      <c r="AE36" s="51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2"/>
      <c r="AR36" s="52"/>
      <c r="AS36" s="52"/>
      <c r="AT36" s="1"/>
      <c r="AU36" s="1"/>
      <c r="AV36" s="1"/>
      <c r="AW36" s="1"/>
      <c r="AX36" s="1"/>
      <c r="AY36" s="1"/>
    </row>
    <row r="37" spans="29:51" x14ac:dyDescent="0.4">
      <c r="AC37" s="54" t="s">
        <v>61</v>
      </c>
      <c r="AD37" s="55">
        <f>COUNTIF(__EER６,"&gt;=325")-COUNTIF(__EER６,"&gt;350")</f>
        <v>0</v>
      </c>
      <c r="AE37" s="51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6"/>
      <c r="AR37" s="56"/>
      <c r="AS37" s="56"/>
      <c r="AT37" s="1"/>
      <c r="AU37" s="1"/>
      <c r="AV37" s="1"/>
      <c r="AW37" s="1"/>
      <c r="AX37" s="1"/>
      <c r="AY37" s="1"/>
    </row>
    <row r="38" spans="29:51" x14ac:dyDescent="0.4">
      <c r="AC38" s="54" t="s">
        <v>62</v>
      </c>
      <c r="AD38" s="55">
        <f>COUNTIF(__EER６,"&gt;=350")-COUNTIF(__EER６,"&gt;375")</f>
        <v>0</v>
      </c>
      <c r="AE38" s="51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6"/>
      <c r="AR38" s="56"/>
      <c r="AS38" s="56"/>
      <c r="AT38" s="1"/>
      <c r="AU38" s="1"/>
      <c r="AV38" s="1"/>
      <c r="AW38" s="1"/>
      <c r="AX38" s="1"/>
      <c r="AY38" s="1"/>
    </row>
    <row r="39" spans="29:51" x14ac:dyDescent="0.4">
      <c r="AC39" s="54" t="s">
        <v>63</v>
      </c>
      <c r="AD39" s="55">
        <f>COUNTIF(__EER６,"&gt;=375")-COUNTIF(__EER６,"&gt;400")</f>
        <v>0</v>
      </c>
      <c r="AE39" s="51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6"/>
      <c r="AR39" s="56"/>
      <c r="AS39" s="56"/>
      <c r="AT39" s="1"/>
      <c r="AU39" s="1"/>
      <c r="AV39" s="1"/>
      <c r="AW39" s="1"/>
      <c r="AX39" s="1"/>
      <c r="AY39" s="1"/>
    </row>
    <row r="40" spans="29:51" x14ac:dyDescent="0.4">
      <c r="AC40" s="54" t="s">
        <v>64</v>
      </c>
      <c r="AD40" s="55">
        <f>COUNTIF(__EER６,"&gt;=400")-COUNTIF(__EER６,"&gt;425")</f>
        <v>0</v>
      </c>
      <c r="AE40" s="51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6"/>
      <c r="AR40" s="56"/>
      <c r="AS40" s="56"/>
      <c r="AT40" s="1"/>
      <c r="AU40" s="1"/>
      <c r="AV40" s="1"/>
      <c r="AW40" s="1"/>
      <c r="AX40" s="1"/>
      <c r="AY40" s="1"/>
    </row>
    <row r="41" spans="29:51" x14ac:dyDescent="0.4">
      <c r="AC41" s="54" t="s">
        <v>65</v>
      </c>
      <c r="AD41" s="55">
        <f>COUNTIF(__EER６,"&gt;=425")-COUNTIF(__EER６,"&gt;450")</f>
        <v>0</v>
      </c>
      <c r="AE41" s="51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6"/>
      <c r="AR41" s="56"/>
      <c r="AS41" s="56"/>
      <c r="AT41" s="1"/>
      <c r="AU41" s="1"/>
      <c r="AV41" s="1"/>
      <c r="AW41" s="1"/>
      <c r="AX41" s="1"/>
      <c r="AY41" s="1"/>
    </row>
    <row r="42" spans="29:51" x14ac:dyDescent="0.4">
      <c r="AC42" s="54" t="s">
        <v>66</v>
      </c>
      <c r="AD42" s="55">
        <f>COUNTIF(__EER６,"&gt;=450")-COUNTIF(__EER６,"&gt;475")</f>
        <v>0</v>
      </c>
      <c r="AE42" s="51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6"/>
      <c r="AR42" s="56"/>
      <c r="AS42" s="56"/>
      <c r="AT42" s="1"/>
      <c r="AU42" s="1"/>
      <c r="AV42" s="1"/>
      <c r="AW42" s="1"/>
      <c r="AX42" s="1"/>
      <c r="AY42" s="1"/>
    </row>
    <row r="43" spans="29:51" x14ac:dyDescent="0.4">
      <c r="AC43" s="54" t="s">
        <v>67</v>
      </c>
      <c r="AD43" s="55">
        <f>COUNTIF(__EER６,"&gt;=475")-COUNTIF(__EER６,"&gt;500")</f>
        <v>0</v>
      </c>
      <c r="AE43" s="51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6"/>
      <c r="AR43" s="56"/>
      <c r="AS43" s="56"/>
      <c r="AT43" s="1"/>
      <c r="AU43" s="1"/>
      <c r="AV43" s="1"/>
      <c r="AW43" s="1"/>
      <c r="AX43" s="1"/>
      <c r="AY43" s="1"/>
    </row>
    <row r="44" spans="29:51" x14ac:dyDescent="0.4">
      <c r="AC44" s="54" t="s">
        <v>68</v>
      </c>
      <c r="AD44" s="55">
        <f>COUNTIF(__EER６,"&gt;=500")-COUNTIF(__EER６,"&gt;525")</f>
        <v>0</v>
      </c>
      <c r="AE44" s="51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6"/>
      <c r="AR44" s="56"/>
      <c r="AS44" s="56"/>
      <c r="AT44" s="1"/>
      <c r="AU44" s="1"/>
      <c r="AV44" s="1"/>
      <c r="AW44" s="1"/>
      <c r="AX44" s="1"/>
      <c r="AY44" s="1"/>
    </row>
    <row r="45" spans="29:51" x14ac:dyDescent="0.4">
      <c r="AC45" s="54" t="s">
        <v>69</v>
      </c>
      <c r="AD45" s="55">
        <f>COUNTIF(__EER６,"&gt;=525")-COUNTIF(__EER６,"&gt;550")</f>
        <v>0</v>
      </c>
      <c r="AE45" s="2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3"/>
      <c r="AR45" s="3"/>
      <c r="AS45" s="3"/>
      <c r="AT45" s="1"/>
      <c r="AU45" s="1"/>
      <c r="AV45" s="1"/>
      <c r="AW45" s="1"/>
      <c r="AX45" s="1"/>
      <c r="AY45" s="1"/>
    </row>
    <row r="46" spans="29:51" x14ac:dyDescent="0.4">
      <c r="AC46" s="54" t="s">
        <v>70</v>
      </c>
      <c r="AD46" s="55">
        <f>COUNTIF(__EER６,"&gt;=550")-COUNTIF(__EER６,"&gt;575")</f>
        <v>0</v>
      </c>
      <c r="AE46" s="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3"/>
      <c r="AR46" s="3"/>
      <c r="AS46" s="3"/>
      <c r="AU46" s="1"/>
      <c r="AV46" s="1"/>
      <c r="AW46" s="1"/>
      <c r="AX46" s="1"/>
      <c r="AY46" s="1"/>
    </row>
    <row r="47" spans="29:51" x14ac:dyDescent="0.4">
      <c r="AC47" s="54" t="s">
        <v>71</v>
      </c>
      <c r="AD47" s="55">
        <f>COUNTIF(__EER６,"&gt;=575")-COUNTIF(__EER６,"&gt;600")</f>
        <v>0</v>
      </c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3"/>
      <c r="AR47" s="3"/>
      <c r="AS47" s="3"/>
      <c r="AT47" s="1"/>
      <c r="AU47" s="1"/>
      <c r="AV47" s="1"/>
      <c r="AW47" s="1"/>
      <c r="AX47" s="1"/>
      <c r="AY47" s="1"/>
    </row>
    <row r="48" spans="29:51" x14ac:dyDescent="0.4">
      <c r="AC48" s="54" t="s">
        <v>72</v>
      </c>
      <c r="AD48" s="55">
        <f>COUNTIF(__EER６,"&gt;=600")-COUNTIF(__EER６,"&gt;625")</f>
        <v>0</v>
      </c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3"/>
      <c r="AR48" s="3"/>
      <c r="AS48" s="3"/>
      <c r="AT48" s="1"/>
      <c r="AU48" s="1"/>
      <c r="AV48" s="1"/>
      <c r="AW48" s="1"/>
      <c r="AX48" s="1"/>
      <c r="AY48" s="1"/>
    </row>
    <row r="49" spans="29:51" x14ac:dyDescent="0.4">
      <c r="AC49" s="54" t="s">
        <v>73</v>
      </c>
      <c r="AD49" s="55">
        <f>COUNTIF(__EER６,"&gt;=625")-COUNTIF(__EER６,"&gt;650")</f>
        <v>0</v>
      </c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3"/>
      <c r="AR49" s="3"/>
      <c r="AS49" s="3"/>
      <c r="AT49" s="1"/>
      <c r="AU49" s="1"/>
      <c r="AV49" s="1"/>
      <c r="AW49" s="1"/>
      <c r="AX49" s="1"/>
      <c r="AY49" s="1"/>
    </row>
    <row r="50" spans="29:51" x14ac:dyDescent="0.4">
      <c r="AC50" s="54" t="s">
        <v>74</v>
      </c>
      <c r="AD50" s="55">
        <f>COUNTIF(__EER６,"&gt;=650")-COUNTIF(__EER６,"&gt;675")</f>
        <v>0</v>
      </c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3"/>
      <c r="AR50" s="3"/>
      <c r="AS50" s="3"/>
      <c r="AT50" s="1"/>
      <c r="AU50" s="1"/>
      <c r="AV50" s="1"/>
      <c r="AW50" s="1"/>
      <c r="AX50" s="1"/>
      <c r="AY50" s="1"/>
    </row>
    <row r="51" spans="29:51" x14ac:dyDescent="0.4">
      <c r="AC51" s="54" t="s">
        <v>75</v>
      </c>
      <c r="AD51" s="55">
        <f>COUNTIF(__EER６,"&gt;=675")-COUNTIF(__EER６,"&gt;700")</f>
        <v>0</v>
      </c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3"/>
      <c r="AR51" s="3"/>
      <c r="AS51" s="3"/>
      <c r="AT51" s="1"/>
      <c r="AU51" s="1"/>
      <c r="AV51" s="1"/>
      <c r="AW51" s="1"/>
      <c r="AX51" s="1"/>
      <c r="AY51" s="1"/>
    </row>
    <row r="52" spans="29:51" x14ac:dyDescent="0.4">
      <c r="AC52" s="54" t="s">
        <v>76</v>
      </c>
      <c r="AD52" s="55">
        <f>COUNTIF(__EER６,"&gt;=700")-COUNTIF(__EER６,"&gt;725")</f>
        <v>0</v>
      </c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3"/>
      <c r="AR52" s="3"/>
      <c r="AS52" s="3"/>
      <c r="AT52" s="1"/>
      <c r="AU52" s="1"/>
      <c r="AV52" s="1"/>
      <c r="AW52" s="1"/>
      <c r="AX52" s="1"/>
      <c r="AY52" s="1"/>
    </row>
    <row r="53" spans="29:51" x14ac:dyDescent="0.4">
      <c r="AC53" s="54" t="s">
        <v>77</v>
      </c>
      <c r="AD53" s="55">
        <f>COUNTIF(__EER６,"&gt;=725")-COUNTIF(__EER６,"&gt;750")</f>
        <v>0</v>
      </c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3"/>
      <c r="AR53" s="3"/>
      <c r="AS53" s="3"/>
      <c r="AT53" s="1"/>
      <c r="AU53" s="1"/>
      <c r="AV53" s="1"/>
      <c r="AW53" s="1"/>
      <c r="AX53" s="1"/>
      <c r="AY53" s="1"/>
    </row>
    <row r="54" spans="29:51" x14ac:dyDescent="0.4">
      <c r="AC54" s="54" t="s">
        <v>78</v>
      </c>
      <c r="AD54" s="55">
        <f>COUNTIF(__EER６,"&gt;=750")-COUNTIF(__EER６,"&gt;775")</f>
        <v>0</v>
      </c>
      <c r="AE54" s="2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3"/>
      <c r="AR54" s="3"/>
      <c r="AS54" s="3"/>
      <c r="AT54" s="1"/>
      <c r="AU54" s="1"/>
      <c r="AV54" s="1"/>
      <c r="AW54" s="1"/>
      <c r="AX54" s="1"/>
      <c r="AY54" s="1"/>
    </row>
    <row r="55" spans="29:51" x14ac:dyDescent="0.4">
      <c r="AC55" s="54" t="s">
        <v>79</v>
      </c>
      <c r="AD55" s="55">
        <f>COUNTIF(__EER６,"&gt;=775")-COUNTIF(__EER６,"&gt;800")</f>
        <v>0</v>
      </c>
      <c r="AE55" s="2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3"/>
      <c r="AR55" s="3"/>
      <c r="AS55" s="3"/>
      <c r="AT55" s="1"/>
      <c r="AU55" s="1"/>
      <c r="AV55" s="1"/>
      <c r="AW55" s="1"/>
      <c r="AX55" s="1"/>
      <c r="AY55" s="1"/>
    </row>
    <row r="56" spans="29:51" x14ac:dyDescent="0.4">
      <c r="AC56" s="54" t="s">
        <v>80</v>
      </c>
      <c r="AD56" s="55">
        <f>COUNTIF(__EER６,"&gt;=800")-COUNTIF(__EER６,"&gt;825")</f>
        <v>0</v>
      </c>
      <c r="AE56" s="2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3"/>
      <c r="AR56" s="3"/>
      <c r="AS56" s="3"/>
      <c r="AT56" s="1"/>
      <c r="AU56" s="1"/>
      <c r="AV56" s="1"/>
      <c r="AW56" s="1"/>
      <c r="AX56" s="1"/>
      <c r="AY56" s="1"/>
    </row>
    <row r="57" spans="29:51" x14ac:dyDescent="0.4">
      <c r="AC57" s="54" t="s">
        <v>81</v>
      </c>
      <c r="AD57" s="55">
        <f>COUNTIF(__EER６,"&gt;=825")-COUNTIF(__EER６,"&gt;850")</f>
        <v>0</v>
      </c>
      <c r="AE57" s="2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3"/>
      <c r="AR57" s="3"/>
      <c r="AS57" s="3"/>
      <c r="AT57" s="1"/>
      <c r="AU57" s="1"/>
      <c r="AV57" s="1"/>
      <c r="AW57" s="1"/>
      <c r="AX57" s="1"/>
      <c r="AY57" s="1"/>
    </row>
    <row r="58" spans="29:51" x14ac:dyDescent="0.4">
      <c r="AC58" s="54" t="s">
        <v>82</v>
      </c>
      <c r="AD58" s="55">
        <f>COUNTIF(__EER６,"&gt;=850")-COUNTIF(__EER６,"&gt;875")</f>
        <v>0</v>
      </c>
      <c r="AE58" s="2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3"/>
      <c r="AR58" s="3"/>
      <c r="AS58" s="3"/>
      <c r="AT58" s="1"/>
      <c r="AU58" s="1"/>
      <c r="AV58" s="1"/>
      <c r="AW58" s="1"/>
      <c r="AX58" s="1"/>
      <c r="AY58" s="1"/>
    </row>
    <row r="59" spans="29:51" x14ac:dyDescent="0.4">
      <c r="AC59" s="54" t="s">
        <v>83</v>
      </c>
      <c r="AD59" s="55">
        <f>COUNTIF(__EER６,"&gt;=875")-COUNTIF(__EER６,"&gt;900")</f>
        <v>0</v>
      </c>
      <c r="AE59" s="2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3"/>
      <c r="AR59" s="3"/>
      <c r="AS59" s="3"/>
      <c r="AT59" s="1"/>
      <c r="AU59" s="1"/>
      <c r="AV59" s="1"/>
      <c r="AW59" s="1"/>
      <c r="AX59" s="1"/>
      <c r="AY59" s="1"/>
    </row>
    <row r="60" spans="29:51" x14ac:dyDescent="0.4">
      <c r="AC60" s="54" t="s">
        <v>84</v>
      </c>
      <c r="AD60" s="55">
        <f>COUNTIF(__EER６,"&gt;=900")-COUNTIF(__EER６,"&gt;925")</f>
        <v>0</v>
      </c>
      <c r="AE60" s="2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3"/>
      <c r="AR60" s="3"/>
      <c r="AS60" s="3"/>
      <c r="AT60" s="1"/>
      <c r="AU60" s="1"/>
      <c r="AV60" s="1"/>
      <c r="AW60" s="1"/>
      <c r="AX60" s="1"/>
      <c r="AY60" s="1"/>
    </row>
    <row r="61" spans="29:51" x14ac:dyDescent="0.4">
      <c r="AC61" s="54" t="s">
        <v>85</v>
      </c>
      <c r="AD61" s="55">
        <f>COUNTIF(__EER６,"&gt;=925")-COUNTIF(__EER６,"&gt;950")</f>
        <v>0</v>
      </c>
      <c r="AE61" s="2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3"/>
      <c r="AR61" s="3"/>
      <c r="AS61" s="3"/>
      <c r="AT61" s="1"/>
      <c r="AU61" s="1"/>
      <c r="AV61" s="1"/>
      <c r="AW61" s="1"/>
      <c r="AX61" s="1"/>
      <c r="AY61" s="1"/>
    </row>
    <row r="62" spans="29:51" x14ac:dyDescent="0.4">
      <c r="AC62" s="54" t="s">
        <v>86</v>
      </c>
      <c r="AD62" s="55">
        <f>COUNTIF(__EER６,"&gt;=950")-COUNTIF(__EER６,"&gt;975")</f>
        <v>0</v>
      </c>
      <c r="AE62" s="2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3"/>
      <c r="AR62" s="3"/>
      <c r="AS62" s="3"/>
      <c r="AT62" s="1"/>
      <c r="AU62" s="1"/>
      <c r="AV62" s="1"/>
      <c r="AW62" s="1"/>
      <c r="AX62" s="1"/>
      <c r="AY62" s="1"/>
    </row>
    <row r="63" spans="29:51" x14ac:dyDescent="0.4">
      <c r="AC63" s="54" t="s">
        <v>87</v>
      </c>
      <c r="AD63" s="55">
        <f>COUNTIF(__EER６,"&gt;=975")-COUNTIF(__EER６,"&gt;1000")</f>
        <v>0</v>
      </c>
      <c r="AE63" s="2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3"/>
      <c r="AR63" s="3"/>
      <c r="AS63" s="3"/>
      <c r="AT63" s="1"/>
      <c r="AU63" s="1"/>
      <c r="AV63" s="1"/>
      <c r="AW63" s="1"/>
      <c r="AX63" s="1"/>
      <c r="AY63" s="1"/>
    </row>
    <row r="64" spans="29:51" x14ac:dyDescent="0.4">
      <c r="AC64" s="54" t="s">
        <v>88</v>
      </c>
      <c r="AD64" s="55">
        <f>COUNTIF(__EER６,"&gt;=1000")-COUNTIF(__EER６,"&gt;1025")</f>
        <v>0</v>
      </c>
      <c r="AE64" s="2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3"/>
      <c r="AR64" s="3"/>
      <c r="AS64" s="3"/>
      <c r="AT64" s="1"/>
      <c r="AU64" s="1"/>
      <c r="AV64" s="1"/>
      <c r="AW64" s="1"/>
      <c r="AX64" s="1"/>
      <c r="AY64" s="1"/>
    </row>
    <row r="65" spans="29:51" x14ac:dyDescent="0.4">
      <c r="AC65" s="54" t="s">
        <v>89</v>
      </c>
      <c r="AD65" s="57">
        <f>COUNTIF(__EER６,"&gt;=1025")</f>
        <v>0</v>
      </c>
      <c r="AE65" s="2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3"/>
      <c r="AR65" s="3"/>
      <c r="AS65" s="3"/>
      <c r="AT65" s="1"/>
      <c r="AU65" s="1"/>
      <c r="AV65" s="1"/>
      <c r="AW65" s="1"/>
      <c r="AX65" s="1"/>
      <c r="AY65" s="1"/>
    </row>
    <row r="66" spans="29:51" x14ac:dyDescent="0.4">
      <c r="AC66" s="58" t="s">
        <v>90</v>
      </c>
      <c r="AD66" s="59">
        <f>SUM(AD36:AD65)</f>
        <v>0</v>
      </c>
      <c r="AE66" s="2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3"/>
      <c r="AR66" s="3"/>
      <c r="AS66" s="3"/>
      <c r="AT66" s="1"/>
      <c r="AU66" s="1"/>
      <c r="AV66" s="1"/>
      <c r="AW66" s="1"/>
      <c r="AX66" s="1"/>
      <c r="AY66" s="1"/>
    </row>
    <row r="67" spans="29:51" x14ac:dyDescent="0.4">
      <c r="AC67" s="1"/>
      <c r="AD67" s="1"/>
      <c r="AE67" s="2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3"/>
      <c r="AR67" s="3"/>
      <c r="AS67" s="3"/>
      <c r="AT67" s="1"/>
      <c r="AU67" s="1"/>
      <c r="AV67" s="1"/>
      <c r="AW67" s="1"/>
      <c r="AX67" s="1"/>
      <c r="AY67" s="1"/>
    </row>
    <row r="68" spans="29:51" x14ac:dyDescent="0.4">
      <c r="AC68" s="1"/>
      <c r="AD68" s="1"/>
      <c r="AE68" s="2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3"/>
      <c r="AR68" s="3"/>
      <c r="AS68" s="3"/>
      <c r="AT68" s="1"/>
      <c r="AU68" s="1"/>
      <c r="AV68" s="1"/>
      <c r="AW68" s="1"/>
      <c r="AX68" s="1"/>
      <c r="AY68" s="1"/>
    </row>
    <row r="69" spans="29:51" x14ac:dyDescent="0.4">
      <c r="AC69" s="53" t="s">
        <v>91</v>
      </c>
      <c r="AD69" s="53"/>
      <c r="AE69" s="2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3"/>
      <c r="AR69" s="3"/>
      <c r="AS69" s="3"/>
      <c r="AT69" s="1"/>
      <c r="AU69" s="1"/>
      <c r="AV69" s="1"/>
      <c r="AW69" s="1"/>
      <c r="AX69" s="1"/>
      <c r="AY69" s="1"/>
    </row>
    <row r="70" spans="29:51" x14ac:dyDescent="0.4">
      <c r="AC70" s="54" t="s">
        <v>58</v>
      </c>
      <c r="AD70" s="54" t="s">
        <v>59</v>
      </c>
      <c r="AE70" s="2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3"/>
      <c r="AR70" s="3"/>
      <c r="AS70" s="3"/>
      <c r="AT70" s="1"/>
      <c r="AU70" s="1"/>
      <c r="AV70" s="1"/>
      <c r="AW70" s="1"/>
      <c r="AX70" s="1"/>
      <c r="AY70" s="1"/>
    </row>
    <row r="71" spans="29:51" x14ac:dyDescent="0.4">
      <c r="AC71" s="54" t="s">
        <v>92</v>
      </c>
      <c r="AD71" s="55">
        <f>COUNTIF(肥満度６,"&lt;=-30")</f>
        <v>0</v>
      </c>
      <c r="AE71" s="2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3"/>
      <c r="AR71" s="3"/>
      <c r="AS71" s="3"/>
      <c r="AT71" s="1"/>
      <c r="AU71" s="1"/>
      <c r="AV71" s="1"/>
      <c r="AW71" s="1"/>
      <c r="AX71" s="1"/>
      <c r="AY71" s="1"/>
    </row>
    <row r="72" spans="29:51" x14ac:dyDescent="0.4">
      <c r="AC72" s="54" t="s">
        <v>93</v>
      </c>
      <c r="AD72" s="55">
        <f>COUNTIF(肥満度６,"&gt;-30")-(COUNTIF(肥満度６,"&gt;-20"))</f>
        <v>0</v>
      </c>
      <c r="AE72" s="2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3"/>
      <c r="AR72" s="3"/>
      <c r="AS72" s="3"/>
      <c r="AT72" s="1"/>
      <c r="AU72" s="1"/>
      <c r="AV72" s="1"/>
      <c r="AW72" s="1"/>
      <c r="AX72" s="1"/>
      <c r="AY72" s="1"/>
    </row>
    <row r="73" spans="29:51" x14ac:dyDescent="0.4">
      <c r="AC73" s="54" t="s">
        <v>94</v>
      </c>
      <c r="AD73" s="55">
        <f>COUNTIF(肥満度６,"&gt;-20")-(COUNTIF(肥満度６,"&gt;-10"))</f>
        <v>0</v>
      </c>
      <c r="AE73" s="2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3"/>
      <c r="AR73" s="3"/>
      <c r="AS73" s="3"/>
      <c r="AT73" s="1"/>
      <c r="AU73" s="1"/>
      <c r="AV73" s="1"/>
      <c r="AW73" s="1"/>
      <c r="AX73" s="1"/>
      <c r="AY73" s="1"/>
    </row>
    <row r="74" spans="29:51" x14ac:dyDescent="0.4">
      <c r="AC74" s="54" t="s">
        <v>95</v>
      </c>
      <c r="AD74" s="55">
        <f>COUNTIF(肥満度６,"&gt;-10")-(COUNTIF(肥満度６,"&gt;0"))</f>
        <v>0</v>
      </c>
      <c r="AE74" s="2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3"/>
      <c r="AR74" s="3"/>
      <c r="AS74" s="3"/>
      <c r="AT74" s="1"/>
      <c r="AU74" s="1"/>
      <c r="AV74" s="1"/>
      <c r="AW74" s="1"/>
      <c r="AX74" s="1"/>
      <c r="AY74" s="1"/>
    </row>
    <row r="75" spans="29:51" x14ac:dyDescent="0.4">
      <c r="AC75" s="54" t="s">
        <v>96</v>
      </c>
      <c r="AD75" s="55">
        <f>(COUNTIF(肥満度６,"&gt;0"))-((COUNTIF(肥満度６,"&gt;10")))</f>
        <v>0</v>
      </c>
      <c r="AE75" s="2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3"/>
      <c r="AR75" s="3"/>
      <c r="AS75" s="3"/>
      <c r="AT75" s="1"/>
      <c r="AU75" s="1"/>
      <c r="AV75" s="1"/>
      <c r="AW75" s="1"/>
      <c r="AX75" s="1"/>
      <c r="AY75" s="1"/>
    </row>
    <row r="76" spans="29:51" x14ac:dyDescent="0.4">
      <c r="AC76" s="54" t="s">
        <v>97</v>
      </c>
      <c r="AD76" s="55">
        <f>COUNTIF(肥満度６,"&gt;=10")-COUNTIF(肥満度６,"&gt;=20")</f>
        <v>0</v>
      </c>
      <c r="AE76" s="2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3"/>
      <c r="AR76" s="3"/>
      <c r="AS76" s="3"/>
      <c r="AT76" s="1"/>
      <c r="AU76" s="1"/>
      <c r="AV76" s="1"/>
      <c r="AW76" s="1"/>
      <c r="AX76" s="1"/>
      <c r="AY76" s="1"/>
    </row>
    <row r="77" spans="29:51" x14ac:dyDescent="0.4">
      <c r="AC77" s="54" t="s">
        <v>98</v>
      </c>
      <c r="AD77" s="55">
        <f>COUNTIF(肥満度６,"&gt;=20")-COUNTIF(肥満度６,"&gt;30")</f>
        <v>0</v>
      </c>
      <c r="AE77" s="2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3"/>
      <c r="AR77" s="3"/>
      <c r="AS77" s="3"/>
      <c r="AT77" s="1"/>
      <c r="AU77" s="1"/>
      <c r="AV77" s="1"/>
      <c r="AW77" s="1"/>
      <c r="AX77" s="1"/>
      <c r="AY77" s="1"/>
    </row>
    <row r="78" spans="29:51" x14ac:dyDescent="0.4">
      <c r="AC78" s="54" t="s">
        <v>99</v>
      </c>
      <c r="AD78" s="55">
        <f>COUNTIF(肥満度６,"&gt;=30")-COUNTIF(肥満度６,"&gt;=40")</f>
        <v>0</v>
      </c>
      <c r="AE78" s="2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3"/>
      <c r="AR78" s="3"/>
      <c r="AS78" s="3"/>
      <c r="AT78" s="1"/>
      <c r="AU78" s="1"/>
      <c r="AV78" s="1"/>
      <c r="AW78" s="1"/>
      <c r="AX78" s="1"/>
      <c r="AY78" s="1"/>
    </row>
    <row r="79" spans="29:51" x14ac:dyDescent="0.4">
      <c r="AC79" s="54" t="s">
        <v>100</v>
      </c>
      <c r="AD79" s="55">
        <f>COUNTIF(肥満度６,"&gt;=40")-COUNTIF(肥満度６,"&gt;=50")</f>
        <v>0</v>
      </c>
      <c r="AE79" s="2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3"/>
      <c r="AR79" s="3"/>
      <c r="AS79" s="3"/>
      <c r="AT79" s="1"/>
      <c r="AU79" s="1"/>
      <c r="AV79" s="1"/>
      <c r="AW79" s="1"/>
      <c r="AX79" s="1"/>
      <c r="AY79" s="1"/>
    </row>
    <row r="80" spans="29:51" x14ac:dyDescent="0.4">
      <c r="AC80" s="54" t="s">
        <v>101</v>
      </c>
      <c r="AD80" s="55">
        <f>COUNTIF(肥満度６,"&gt;=50")</f>
        <v>0</v>
      </c>
      <c r="AE80" s="2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3"/>
      <c r="AR80" s="3"/>
      <c r="AS80" s="3"/>
      <c r="AT80" s="1"/>
      <c r="AU80" s="1"/>
      <c r="AV80" s="1"/>
      <c r="AW80" s="1"/>
      <c r="AX80" s="1"/>
      <c r="AY80" s="1"/>
    </row>
    <row r="81" spans="29:51" x14ac:dyDescent="0.4">
      <c r="AC81" s="58" t="s">
        <v>90</v>
      </c>
      <c r="AD81" s="59">
        <f>SUM(AD71:AD80)</f>
        <v>0</v>
      </c>
      <c r="AE81" s="2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3"/>
      <c r="AR81" s="3"/>
      <c r="AS81" s="3"/>
      <c r="AT81" s="1"/>
      <c r="AU81" s="1"/>
      <c r="AV81" s="1"/>
      <c r="AW81" s="1"/>
      <c r="AX81" s="1"/>
      <c r="AY81" s="1"/>
    </row>
    <row r="82" spans="29:51" x14ac:dyDescent="0.4">
      <c r="AC82" s="1"/>
      <c r="AD82" s="1"/>
      <c r="AE82" s="2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3"/>
      <c r="AR82" s="3"/>
      <c r="AS82" s="3"/>
      <c r="AT82" s="1"/>
      <c r="AU82" s="1"/>
      <c r="AV82" s="1"/>
      <c r="AW82" s="1"/>
      <c r="AX82" s="1"/>
      <c r="AY82" s="1"/>
    </row>
    <row r="83" spans="29:51" x14ac:dyDescent="0.4">
      <c r="AC83" s="1"/>
      <c r="AD83" s="1"/>
      <c r="AE83" s="2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3"/>
      <c r="AR83" s="3"/>
      <c r="AS83" s="3"/>
      <c r="AT83" s="1"/>
      <c r="AU83" s="1"/>
      <c r="AV83" s="1"/>
      <c r="AW83" s="1"/>
      <c r="AX83" s="1"/>
      <c r="AY83" s="1"/>
    </row>
  </sheetData>
  <mergeCells count="1">
    <mergeCell ref="F12:F13"/>
  </mergeCells>
  <phoneticPr fontId="2"/>
  <dataValidations count="2">
    <dataValidation type="list" allowBlank="1" showInputMessage="1" showErrorMessage="1" sqref="C5">
      <formula1>"1,2"</formula1>
    </dataValidation>
    <dataValidation type="list" allowBlank="1" showInputMessage="1" showErrorMessage="1" sqref="B5">
      <formula1>"6,7,8,9,10,11,12,13,14,15,16,17"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__EER６</vt:lpstr>
      <vt:lpstr>_EER６</vt:lpstr>
      <vt:lpstr>肥満度６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坂井田　洸太</dc:creator>
  <cp:lastModifiedBy>稲沢市教育委員会</cp:lastModifiedBy>
  <cp:lastPrinted>2022-10-03T04:50:35Z</cp:lastPrinted>
  <dcterms:created xsi:type="dcterms:W3CDTF">2022-08-23T06:51:13Z</dcterms:created>
  <dcterms:modified xsi:type="dcterms:W3CDTF">2022-10-03T04:51:08Z</dcterms:modified>
</cp:coreProperties>
</file>