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財政\財政健全化\R7(R6決算)\050報告（県・議会・監査）\協議会・庁議\"/>
    </mc:Choice>
  </mc:AlternateContent>
  <bookViews>
    <workbookView xWindow="315" yWindow="165" windowWidth="19155" windowHeight="5475" tabRatio="852"/>
  </bookViews>
  <sheets>
    <sheet name="総括" sheetId="2" r:id="rId1"/>
    <sheet name="実質赤字比率" sheetId="1" r:id="rId2"/>
    <sheet name="連結実質赤字比率" sheetId="4" r:id="rId3"/>
    <sheet name="実質公債費比率" sheetId="6" r:id="rId4"/>
    <sheet name="将来負担比率" sheetId="7" r:id="rId5"/>
    <sheet name="資金不足比率" sheetId="3" r:id="rId6"/>
    <sheet name="比較2" sheetId="15" r:id="rId7"/>
    <sheet name="決裁説明用" sheetId="9" r:id="rId8"/>
    <sheet name="文言" sheetId="14" r:id="rId9"/>
    <sheet name="Sheet2" sheetId="12" r:id="rId10"/>
    <sheet name="Sheet4" sheetId="11" r:id="rId11"/>
    <sheet name="Sheet1" sheetId="13" r:id="rId12"/>
    <sheet name="監査説明用" sheetId="10" r:id="rId13"/>
  </sheets>
  <externalReferences>
    <externalReference r:id="rId14"/>
    <externalReference r:id="rId15"/>
  </externalReferences>
  <definedNames>
    <definedName name="_xlnm.Print_Area" localSheetId="12">監査説明用!$A$1:$G$70</definedName>
    <definedName name="_xlnm.Print_Area" localSheetId="7">決裁説明用!$A$1:$E$90</definedName>
    <definedName name="_xlnm.Print_Area" localSheetId="3">実質公債費比率!$A$1:$M$120</definedName>
    <definedName name="_xlnm.Print_Area" localSheetId="4">将来負担比率!$A$1:$M$108</definedName>
    <definedName name="_xlnm.Print_Area" localSheetId="0">総括!$A$1:$Q$108</definedName>
    <definedName name="_xlnm.Print_Area" localSheetId="6">比較2!$A$1:$U$335</definedName>
  </definedNames>
  <calcPr calcId="162913"/>
</workbook>
</file>

<file path=xl/calcChain.xml><?xml version="1.0" encoding="utf-8"?>
<calcChain xmlns="http://schemas.openxmlformats.org/spreadsheetml/2006/main">
  <c r="L94" i="15" l="1"/>
  <c r="J67" i="15"/>
  <c r="J68" i="15" s="1"/>
  <c r="E68" i="15" l="1"/>
  <c r="E47" i="15"/>
  <c r="H24" i="15"/>
  <c r="H23" i="15"/>
  <c r="H314" i="15"/>
  <c r="K68" i="15"/>
  <c r="J51" i="6" l="1"/>
  <c r="K157" i="15"/>
  <c r="M155" i="15" l="1"/>
  <c r="M156" i="15"/>
  <c r="L156" i="15"/>
  <c r="M157" i="15"/>
  <c r="L157" i="15"/>
  <c r="O154" i="15" l="1"/>
  <c r="O153" i="15"/>
  <c r="O152" i="15"/>
  <c r="N157" i="15"/>
  <c r="N156" i="15"/>
  <c r="N144" i="15"/>
  <c r="G6" i="7"/>
  <c r="K6" i="7" l="1"/>
  <c r="L268" i="15"/>
  <c r="E31" i="7" l="1"/>
  <c r="M178" i="15" l="1"/>
  <c r="G314" i="15" l="1"/>
  <c r="F221" i="15"/>
  <c r="J94" i="15"/>
  <c r="F68" i="15"/>
  <c r="G68" i="15"/>
  <c r="I75" i="6" l="1"/>
  <c r="F35" i="4" l="1"/>
  <c r="F24" i="4"/>
  <c r="G24" i="4"/>
  <c r="F335" i="15" l="1"/>
  <c r="G335" i="15"/>
  <c r="H335" i="15"/>
  <c r="I335" i="15"/>
  <c r="J335" i="15"/>
  <c r="E335" i="15"/>
  <c r="K334" i="15"/>
  <c r="F314" i="15"/>
  <c r="E314" i="15"/>
  <c r="I313" i="15"/>
  <c r="F288" i="15"/>
  <c r="E288" i="15"/>
  <c r="G287" i="15"/>
  <c r="F268" i="15"/>
  <c r="G268" i="15"/>
  <c r="H268" i="15"/>
  <c r="I268" i="15"/>
  <c r="J268" i="15"/>
  <c r="K268" i="15"/>
  <c r="M268" i="15"/>
  <c r="N268" i="15"/>
  <c r="E268" i="15"/>
  <c r="F243" i="15"/>
  <c r="G243" i="15"/>
  <c r="H243" i="15"/>
  <c r="K243" i="15"/>
  <c r="M243" i="15"/>
  <c r="N243" i="15"/>
  <c r="E243" i="15"/>
  <c r="I242" i="15"/>
  <c r="G221" i="15"/>
  <c r="H221" i="15"/>
  <c r="E221" i="15"/>
  <c r="I220" i="15"/>
  <c r="K200" i="15"/>
  <c r="J200" i="15"/>
  <c r="I200" i="15"/>
  <c r="H200" i="15"/>
  <c r="G200" i="15"/>
  <c r="F200" i="15"/>
  <c r="E200" i="15"/>
  <c r="L199" i="15"/>
  <c r="F179" i="15"/>
  <c r="G179" i="15"/>
  <c r="H179" i="15"/>
  <c r="I179" i="15"/>
  <c r="J179" i="15"/>
  <c r="K179" i="15"/>
  <c r="L179" i="15"/>
  <c r="E179" i="15"/>
  <c r="F158" i="15"/>
  <c r="G158" i="15"/>
  <c r="H158" i="15"/>
  <c r="N158" i="15" s="1"/>
  <c r="I158" i="15"/>
  <c r="J158" i="15"/>
  <c r="E158" i="15"/>
  <c r="E134" i="15"/>
  <c r="F134" i="15"/>
  <c r="G134" i="15"/>
  <c r="H134" i="15"/>
  <c r="I134" i="15"/>
  <c r="K134" i="15"/>
  <c r="L134" i="15"/>
  <c r="M134" i="15"/>
  <c r="N134" i="15"/>
  <c r="O133" i="15"/>
  <c r="J133" i="15"/>
  <c r="F96" i="15"/>
  <c r="G96" i="15"/>
  <c r="H96" i="15"/>
  <c r="I96" i="15"/>
  <c r="E96" i="15"/>
  <c r="M94" i="15"/>
  <c r="L93" i="15"/>
  <c r="F95" i="15"/>
  <c r="G95" i="15"/>
  <c r="H95" i="15"/>
  <c r="I95" i="15"/>
  <c r="E95" i="15"/>
  <c r="L67" i="15"/>
  <c r="H68" i="15"/>
  <c r="M47" i="15"/>
  <c r="L47" i="15"/>
  <c r="K47" i="15"/>
  <c r="J47" i="15"/>
  <c r="H47" i="15"/>
  <c r="J23" i="15"/>
  <c r="I24" i="15"/>
  <c r="E24" i="15"/>
  <c r="P133" i="15" l="1"/>
  <c r="L96" i="15"/>
  <c r="M158" i="15"/>
  <c r="Q133" i="15"/>
  <c r="R133" i="15" s="1"/>
  <c r="L95" i="15"/>
  <c r="O158" i="15" l="1"/>
  <c r="O157" i="15"/>
  <c r="G74" i="7"/>
  <c r="G15" i="7" s="1"/>
  <c r="L158" i="15"/>
  <c r="O156" i="15" l="1"/>
  <c r="O155" i="15"/>
  <c r="N145" i="15"/>
  <c r="N146" i="15"/>
  <c r="N147" i="15"/>
  <c r="N148" i="15"/>
  <c r="N149" i="15"/>
  <c r="N150" i="15"/>
  <c r="N151" i="15"/>
  <c r="N152" i="15"/>
  <c r="N153" i="15"/>
  <c r="N154" i="15"/>
  <c r="N155" i="15"/>
  <c r="M93" i="15" l="1"/>
  <c r="K22" i="15"/>
  <c r="L22" i="15"/>
  <c r="M95" i="15" l="1"/>
  <c r="M96" i="15"/>
  <c r="J14" i="6"/>
  <c r="K333" i="15" l="1"/>
  <c r="K335" i="15" s="1"/>
  <c r="I312" i="15"/>
  <c r="I314" i="15" s="1"/>
  <c r="F49" i="7"/>
  <c r="I241" i="15"/>
  <c r="I243" i="15" s="1"/>
  <c r="I219" i="15"/>
  <c r="I221" i="15" s="1"/>
  <c r="L198" i="15"/>
  <c r="L200" i="15" s="1"/>
  <c r="M177" i="15"/>
  <c r="M179" i="15" s="1"/>
  <c r="K156" i="15" l="1"/>
  <c r="K158" i="15" s="1"/>
  <c r="J132" i="15" l="1"/>
  <c r="J134" i="15" s="1"/>
  <c r="O132" i="15"/>
  <c r="O134" i="15" s="1"/>
  <c r="Q93" i="15"/>
  <c r="J93" i="15"/>
  <c r="J96" i="15" l="1"/>
  <c r="J95" i="15"/>
  <c r="P132" i="15"/>
  <c r="P134" i="15" s="1"/>
  <c r="Q132" i="15"/>
  <c r="R132" i="15" s="1"/>
  <c r="J66" i="15" l="1"/>
  <c r="L66" i="15" l="1"/>
  <c r="L68" i="15" s="1"/>
  <c r="G286" i="15"/>
  <c r="G288" i="15" s="1"/>
  <c r="K37" i="4" l="1"/>
  <c r="H22" i="15" l="1"/>
  <c r="J22" i="15" l="1"/>
  <c r="J24" i="15" s="1"/>
  <c r="H21" i="15"/>
  <c r="J21" i="15" l="1"/>
  <c r="E19" i="7" l="1"/>
  <c r="B29" i="6" l="1"/>
  <c r="B30" i="6"/>
  <c r="B28" i="6"/>
  <c r="I311" i="15" l="1"/>
  <c r="K155" i="15" l="1"/>
  <c r="M92" i="15"/>
  <c r="L92" i="15"/>
  <c r="Q92" i="15" l="1"/>
  <c r="L155" i="15"/>
  <c r="I8" i="6" l="1"/>
  <c r="J92" i="15"/>
  <c r="K94" i="15" s="1"/>
  <c r="J12" i="6"/>
  <c r="K332" i="15" l="1"/>
  <c r="J95" i="6" l="1"/>
  <c r="J25" i="3" l="1"/>
  <c r="K331" i="15" l="1"/>
  <c r="K330" i="15"/>
  <c r="K329" i="15"/>
  <c r="K328" i="15"/>
  <c r="K327" i="15"/>
  <c r="K326" i="15"/>
  <c r="K325" i="15"/>
  <c r="K324" i="15"/>
  <c r="K323" i="15"/>
  <c r="K322" i="15"/>
  <c r="K321" i="15"/>
  <c r="K320" i="15"/>
  <c r="K319" i="15"/>
  <c r="J142" i="15" s="1"/>
  <c r="K318" i="15"/>
  <c r="J141" i="15" s="1"/>
  <c r="I310" i="15"/>
  <c r="I309" i="15"/>
  <c r="I308" i="15"/>
  <c r="I307" i="15"/>
  <c r="I306" i="15"/>
  <c r="I305" i="15"/>
  <c r="I304" i="15"/>
  <c r="I303" i="15"/>
  <c r="I302" i="15"/>
  <c r="I301" i="15"/>
  <c r="I300" i="15"/>
  <c r="I299" i="15"/>
  <c r="I298" i="15"/>
  <c r="I142" i="15" s="1"/>
  <c r="I297" i="15"/>
  <c r="I78" i="15" s="1"/>
  <c r="G285" i="15"/>
  <c r="G284" i="15"/>
  <c r="G283" i="15"/>
  <c r="G282" i="15"/>
  <c r="G281" i="15"/>
  <c r="G280" i="15"/>
  <c r="G279" i="15"/>
  <c r="G278" i="15"/>
  <c r="G277" i="15"/>
  <c r="G276" i="15"/>
  <c r="G275" i="15"/>
  <c r="G274" i="15"/>
  <c r="G273" i="15"/>
  <c r="G272" i="15"/>
  <c r="H142" i="15" s="1"/>
  <c r="G271" i="15"/>
  <c r="H141" i="15" s="1"/>
  <c r="I240" i="15"/>
  <c r="J242" i="15" s="1"/>
  <c r="I239" i="15"/>
  <c r="I238" i="15"/>
  <c r="I237" i="15"/>
  <c r="I236" i="15"/>
  <c r="I235" i="15"/>
  <c r="I234" i="15"/>
  <c r="I233" i="15"/>
  <c r="I232" i="15"/>
  <c r="I231" i="15"/>
  <c r="I230" i="15"/>
  <c r="I229" i="15"/>
  <c r="I228" i="15"/>
  <c r="I227" i="15"/>
  <c r="I226" i="15"/>
  <c r="I225" i="15"/>
  <c r="I224" i="15"/>
  <c r="I218" i="15"/>
  <c r="I217" i="15"/>
  <c r="I216" i="15"/>
  <c r="I215" i="15"/>
  <c r="I214" i="15"/>
  <c r="I213" i="15"/>
  <c r="I212" i="15"/>
  <c r="I211" i="15"/>
  <c r="I210" i="15"/>
  <c r="I209" i="15"/>
  <c r="I208" i="15"/>
  <c r="I207" i="15"/>
  <c r="I206" i="15"/>
  <c r="I205" i="15"/>
  <c r="G163" i="15" s="1"/>
  <c r="M163" i="15" s="1"/>
  <c r="E142" i="15" s="1"/>
  <c r="I204" i="15"/>
  <c r="L197" i="15"/>
  <c r="L196" i="15"/>
  <c r="L195" i="15"/>
  <c r="L194" i="15"/>
  <c r="L193" i="15"/>
  <c r="L192" i="15"/>
  <c r="L191" i="15"/>
  <c r="L190" i="15"/>
  <c r="L189" i="15"/>
  <c r="L188" i="15"/>
  <c r="L187" i="15"/>
  <c r="L186" i="15"/>
  <c r="L185" i="15"/>
  <c r="L184" i="15"/>
  <c r="L183" i="15"/>
  <c r="M176" i="15"/>
  <c r="M175" i="15"/>
  <c r="M174" i="15"/>
  <c r="M173" i="15"/>
  <c r="M172" i="15"/>
  <c r="M171" i="15"/>
  <c r="M170" i="15"/>
  <c r="M169" i="15"/>
  <c r="M168" i="15"/>
  <c r="M167" i="15"/>
  <c r="M166" i="15"/>
  <c r="M165" i="15"/>
  <c r="M164" i="15"/>
  <c r="M162" i="15"/>
  <c r="E141" i="15" s="1"/>
  <c r="M154" i="15"/>
  <c r="L154" i="15"/>
  <c r="K154" i="15"/>
  <c r="M153" i="15"/>
  <c r="L153" i="15"/>
  <c r="K153" i="15"/>
  <c r="M152" i="15"/>
  <c r="L152" i="15"/>
  <c r="K152" i="15"/>
  <c r="M151" i="15"/>
  <c r="L151" i="15"/>
  <c r="K151" i="15"/>
  <c r="M150" i="15"/>
  <c r="L150" i="15"/>
  <c r="K150" i="15"/>
  <c r="M149" i="15"/>
  <c r="L149" i="15"/>
  <c r="K149" i="15"/>
  <c r="M148" i="15"/>
  <c r="L148" i="15"/>
  <c r="K148" i="15"/>
  <c r="M147" i="15"/>
  <c r="L147" i="15"/>
  <c r="K147" i="15"/>
  <c r="M146" i="15"/>
  <c r="L146" i="15"/>
  <c r="K146" i="15"/>
  <c r="M145" i="15"/>
  <c r="L145" i="15"/>
  <c r="K145" i="15"/>
  <c r="M144" i="15"/>
  <c r="L144" i="15"/>
  <c r="K144" i="15"/>
  <c r="M143" i="15"/>
  <c r="I143" i="15"/>
  <c r="L143" i="15" s="1"/>
  <c r="O131" i="15"/>
  <c r="J131" i="15"/>
  <c r="O130" i="15"/>
  <c r="J130" i="15"/>
  <c r="O129" i="15"/>
  <c r="J129" i="15"/>
  <c r="O128" i="15"/>
  <c r="J128" i="15"/>
  <c r="O127" i="15"/>
  <c r="J127" i="15"/>
  <c r="O126" i="15"/>
  <c r="J126" i="15"/>
  <c r="O125" i="15"/>
  <c r="J125" i="15"/>
  <c r="O124" i="15"/>
  <c r="J124" i="15"/>
  <c r="O123" i="15"/>
  <c r="J123" i="15"/>
  <c r="O122" i="15"/>
  <c r="J122" i="15"/>
  <c r="O121" i="15"/>
  <c r="J121" i="15"/>
  <c r="O120" i="15"/>
  <c r="J120" i="15"/>
  <c r="O119" i="15"/>
  <c r="J119" i="15"/>
  <c r="O118" i="15"/>
  <c r="J118" i="15"/>
  <c r="O117" i="15"/>
  <c r="J117" i="15"/>
  <c r="M91" i="15"/>
  <c r="L91" i="15"/>
  <c r="J91" i="15"/>
  <c r="K93" i="15" s="1"/>
  <c r="M90" i="15"/>
  <c r="L90" i="15"/>
  <c r="J90" i="15"/>
  <c r="M89" i="15"/>
  <c r="L89" i="15"/>
  <c r="J89" i="15"/>
  <c r="M88" i="15"/>
  <c r="L88" i="15"/>
  <c r="J88" i="15"/>
  <c r="M87" i="15"/>
  <c r="L87" i="15"/>
  <c r="J87" i="15"/>
  <c r="M86" i="15"/>
  <c r="L86" i="15"/>
  <c r="J86" i="15"/>
  <c r="M85" i="15"/>
  <c r="L85" i="15"/>
  <c r="J85" i="15"/>
  <c r="M84" i="15"/>
  <c r="L84" i="15"/>
  <c r="J84" i="15"/>
  <c r="M83" i="15"/>
  <c r="L83" i="15"/>
  <c r="J83" i="15"/>
  <c r="M82" i="15"/>
  <c r="L82" i="15"/>
  <c r="J82" i="15"/>
  <c r="M81" i="15"/>
  <c r="L81" i="15"/>
  <c r="J81" i="15"/>
  <c r="M80" i="15"/>
  <c r="I80" i="15"/>
  <c r="L80" i="15" s="1"/>
  <c r="M79" i="15"/>
  <c r="M78" i="15"/>
  <c r="M77" i="15"/>
  <c r="L77" i="15"/>
  <c r="J77" i="15"/>
  <c r="M76" i="15"/>
  <c r="L76" i="15"/>
  <c r="J76" i="15"/>
  <c r="J65" i="15"/>
  <c r="J64" i="15"/>
  <c r="L64" i="15" s="1"/>
  <c r="J63" i="15"/>
  <c r="L63" i="15" s="1"/>
  <c r="J62" i="15"/>
  <c r="L62" i="15" s="1"/>
  <c r="J61" i="15"/>
  <c r="L61" i="15" s="1"/>
  <c r="J60" i="15"/>
  <c r="L60" i="15" s="1"/>
  <c r="J59" i="15"/>
  <c r="L59" i="15" s="1"/>
  <c r="J58" i="15"/>
  <c r="L58" i="15" s="1"/>
  <c r="J57" i="15"/>
  <c r="L57" i="15" s="1"/>
  <c r="J56" i="15"/>
  <c r="L56" i="15" s="1"/>
  <c r="J55" i="15"/>
  <c r="L55" i="15" s="1"/>
  <c r="J54" i="15"/>
  <c r="L54" i="15" s="1"/>
  <c r="K53" i="15"/>
  <c r="J53" i="15"/>
  <c r="J52" i="15"/>
  <c r="J51" i="15"/>
  <c r="H20" i="15"/>
  <c r="H19" i="15"/>
  <c r="J19" i="15" s="1"/>
  <c r="H18" i="15"/>
  <c r="J18" i="15" s="1"/>
  <c r="H17" i="15"/>
  <c r="J17" i="15" s="1"/>
  <c r="H16" i="15"/>
  <c r="J16" i="15" s="1"/>
  <c r="H15" i="15"/>
  <c r="J15" i="15" s="1"/>
  <c r="H14" i="15"/>
  <c r="J14" i="15" s="1"/>
  <c r="H13" i="15"/>
  <c r="J13" i="15" s="1"/>
  <c r="H12" i="15"/>
  <c r="J12" i="15" s="1"/>
  <c r="H11" i="15"/>
  <c r="J11" i="15" s="1"/>
  <c r="H10" i="15"/>
  <c r="J10" i="15" s="1"/>
  <c r="I9" i="15"/>
  <c r="H9" i="15"/>
  <c r="H8" i="15"/>
  <c r="H7" i="15"/>
  <c r="J241" i="15" l="1"/>
  <c r="L241" i="15" s="1"/>
  <c r="O241" i="15" s="1"/>
  <c r="I79" i="15"/>
  <c r="L79" i="15" s="1"/>
  <c r="I8" i="15"/>
  <c r="K52" i="15"/>
  <c r="K95" i="15"/>
  <c r="K96" i="15"/>
  <c r="J243" i="15"/>
  <c r="L242" i="15"/>
  <c r="P119" i="15"/>
  <c r="Q123" i="15"/>
  <c r="R123" i="15" s="1"/>
  <c r="L53" i="15"/>
  <c r="K51" i="15"/>
  <c r="L51" i="15" s="1"/>
  <c r="J235" i="15"/>
  <c r="L235" i="15" s="1"/>
  <c r="O235" i="15" s="1"/>
  <c r="Q146" i="15"/>
  <c r="K92" i="15"/>
  <c r="L65" i="15"/>
  <c r="Q130" i="15"/>
  <c r="R130" i="15" s="1"/>
  <c r="J236" i="15"/>
  <c r="L236" i="15" s="1"/>
  <c r="O236" i="15" s="1"/>
  <c r="Q81" i="15"/>
  <c r="J229" i="15"/>
  <c r="L229" i="15" s="1"/>
  <c r="O229" i="15" s="1"/>
  <c r="J237" i="15"/>
  <c r="L237" i="15" s="1"/>
  <c r="O237" i="15" s="1"/>
  <c r="Q127" i="15"/>
  <c r="R127" i="15" s="1"/>
  <c r="J233" i="15"/>
  <c r="L233" i="15" s="1"/>
  <c r="O233" i="15" s="1"/>
  <c r="K83" i="15"/>
  <c r="Q120" i="15"/>
  <c r="R120" i="15" s="1"/>
  <c r="Q124" i="15"/>
  <c r="R124" i="15" s="1"/>
  <c r="P128" i="15"/>
  <c r="Q125" i="15"/>
  <c r="R125" i="15" s="1"/>
  <c r="Q129" i="15"/>
  <c r="R129" i="15" s="1"/>
  <c r="J230" i="15"/>
  <c r="L230" i="15" s="1"/>
  <c r="O230" i="15" s="1"/>
  <c r="Q144" i="15"/>
  <c r="M142" i="15"/>
  <c r="Q117" i="15"/>
  <c r="R117" i="15" s="1"/>
  <c r="J228" i="15"/>
  <c r="L228" i="15" s="1"/>
  <c r="O228" i="15" s="1"/>
  <c r="Q147" i="15"/>
  <c r="J238" i="15"/>
  <c r="L238" i="15" s="1"/>
  <c r="O238" i="15" s="1"/>
  <c r="J9" i="15"/>
  <c r="P122" i="15"/>
  <c r="L52" i="15"/>
  <c r="Q119" i="15"/>
  <c r="R119" i="15" s="1"/>
  <c r="J79" i="15"/>
  <c r="K91" i="15"/>
  <c r="Q91" i="15"/>
  <c r="J234" i="15"/>
  <c r="L234" i="15" s="1"/>
  <c r="O234" i="15" s="1"/>
  <c r="Q122" i="15"/>
  <c r="R122" i="15" s="1"/>
  <c r="Q126" i="15"/>
  <c r="R126" i="15" s="1"/>
  <c r="J227" i="15"/>
  <c r="L227" i="15" s="1"/>
  <c r="O227" i="15" s="1"/>
  <c r="Q84" i="15"/>
  <c r="L142" i="15"/>
  <c r="J80" i="15"/>
  <c r="K82" i="15" s="1"/>
  <c r="Q82" i="15"/>
  <c r="P123" i="15"/>
  <c r="Q145" i="15"/>
  <c r="Q153" i="15"/>
  <c r="Q90" i="15"/>
  <c r="K143" i="15"/>
  <c r="J231" i="15"/>
  <c r="L231" i="15" s="1"/>
  <c r="O231" i="15" s="1"/>
  <c r="J239" i="15"/>
  <c r="L239" i="15" s="1"/>
  <c r="O239" i="15" s="1"/>
  <c r="J8" i="15"/>
  <c r="J232" i="15"/>
  <c r="L232" i="15" s="1"/>
  <c r="O232" i="15" s="1"/>
  <c r="J240" i="15"/>
  <c r="J20" i="15"/>
  <c r="P127" i="15"/>
  <c r="Q149" i="15"/>
  <c r="K86" i="15"/>
  <c r="P124" i="15"/>
  <c r="Q152" i="15"/>
  <c r="Q131" i="15"/>
  <c r="R131" i="15" s="1"/>
  <c r="Q87" i="15"/>
  <c r="Q128" i="15"/>
  <c r="R128" i="15" s="1"/>
  <c r="Q150" i="15"/>
  <c r="Q148" i="15"/>
  <c r="Q118" i="15"/>
  <c r="R118" i="15" s="1"/>
  <c r="Q121" i="15"/>
  <c r="R121" i="15" s="1"/>
  <c r="P130" i="15"/>
  <c r="Q151" i="15"/>
  <c r="Q89" i="15"/>
  <c r="K87" i="15"/>
  <c r="K90" i="15"/>
  <c r="K88" i="15"/>
  <c r="Q88" i="15"/>
  <c r="Q85" i="15"/>
  <c r="Q83" i="15"/>
  <c r="K84" i="15"/>
  <c r="Q86" i="15"/>
  <c r="K89" i="15"/>
  <c r="K85" i="15"/>
  <c r="Q95" i="15"/>
  <c r="P131" i="15"/>
  <c r="L78" i="15"/>
  <c r="J78" i="15"/>
  <c r="M141" i="15"/>
  <c r="P121" i="15"/>
  <c r="P129" i="15"/>
  <c r="P118" i="15"/>
  <c r="P126" i="15"/>
  <c r="I141" i="15"/>
  <c r="L141" i="15" s="1"/>
  <c r="P120" i="15"/>
  <c r="K142" i="15"/>
  <c r="I7" i="15"/>
  <c r="J7" i="15" s="1"/>
  <c r="P117" i="15"/>
  <c r="P125" i="15"/>
  <c r="Q154" i="15"/>
  <c r="J226" i="15"/>
  <c r="L226" i="15" s="1"/>
  <c r="O226" i="15" s="1"/>
  <c r="L243" i="15" l="1"/>
  <c r="O242" i="15"/>
  <c r="O243" i="15" s="1"/>
  <c r="L240" i="15"/>
  <c r="K80" i="15"/>
  <c r="K81" i="15"/>
  <c r="K141" i="15"/>
  <c r="K78" i="15"/>
  <c r="O240" i="15"/>
  <c r="K79" i="15"/>
  <c r="K33" i="4" l="1"/>
  <c r="K34" i="4"/>
  <c r="F44" i="4"/>
  <c r="F47" i="4" s="1"/>
  <c r="J98" i="6" l="1"/>
  <c r="J99" i="6"/>
  <c r="J97" i="6"/>
  <c r="J96" i="6"/>
  <c r="O54" i="4" l="1"/>
  <c r="I9" i="1" l="1"/>
  <c r="I31" i="1"/>
  <c r="K34" i="1" s="1"/>
  <c r="H24" i="3" l="1"/>
  <c r="H23" i="3"/>
  <c r="H22" i="3"/>
  <c r="H27" i="3" l="1"/>
  <c r="H26" i="3"/>
  <c r="J88" i="7" l="1"/>
  <c r="G63" i="7"/>
  <c r="K114" i="6"/>
  <c r="P97" i="2" l="1"/>
  <c r="N97" i="2"/>
  <c r="L97" i="2"/>
  <c r="J97" i="2"/>
  <c r="H97" i="2"/>
  <c r="F97" i="2"/>
  <c r="D97" i="2"/>
  <c r="L31" i="3" l="1"/>
  <c r="I31" i="3"/>
  <c r="F31" i="3"/>
  <c r="E31" i="3"/>
  <c r="I63" i="7"/>
  <c r="K92" i="6"/>
  <c r="N54" i="4" l="1"/>
  <c r="M31" i="3" l="1"/>
  <c r="I66" i="7" l="1"/>
  <c r="K25" i="3" l="1"/>
  <c r="L25" i="3"/>
  <c r="G44" i="4"/>
  <c r="G47" i="4" s="1"/>
  <c r="H44" i="4"/>
  <c r="H47" i="4" s="1"/>
  <c r="I44" i="4"/>
  <c r="I47" i="4" s="1"/>
  <c r="K44" i="4"/>
  <c r="K47" i="4" s="1"/>
  <c r="G35" i="4"/>
  <c r="G38" i="4" s="1"/>
  <c r="H35" i="4"/>
  <c r="H38" i="4" s="1"/>
  <c r="I35" i="4"/>
  <c r="I38" i="4" s="1"/>
  <c r="J35" i="4"/>
  <c r="J38" i="4" s="1"/>
  <c r="L35" i="4"/>
  <c r="L38" i="4" s="1"/>
  <c r="F38" i="4"/>
  <c r="W74" i="2" l="1"/>
  <c r="F27" i="3" l="1"/>
  <c r="F26" i="3"/>
  <c r="F24" i="3"/>
  <c r="F23" i="3"/>
  <c r="L26" i="3"/>
  <c r="L24" i="3"/>
  <c r="G71" i="2" s="1"/>
  <c r="F54" i="7"/>
  <c r="H54" i="7" s="1"/>
  <c r="I54" i="7" s="1"/>
  <c r="F53" i="7"/>
  <c r="H53" i="7" s="1"/>
  <c r="I53" i="7" s="1"/>
  <c r="F51" i="7"/>
  <c r="H51" i="7" s="1"/>
  <c r="I51" i="7" s="1"/>
  <c r="F50" i="7"/>
  <c r="H50" i="7" s="1"/>
  <c r="I50" i="7" s="1"/>
  <c r="F48" i="7"/>
  <c r="H48" i="7" s="1"/>
  <c r="I48" i="7" s="1"/>
  <c r="F47" i="7"/>
  <c r="H47" i="7" s="1"/>
  <c r="I47" i="7" s="1"/>
  <c r="F45" i="7"/>
  <c r="H45" i="7" s="1"/>
  <c r="I45" i="7" s="1"/>
  <c r="F44" i="7"/>
  <c r="H44" i="7" s="1"/>
  <c r="I44" i="7" s="1"/>
  <c r="C15" i="7"/>
  <c r="F25" i="3" l="1"/>
  <c r="H25" i="3"/>
  <c r="J45" i="4" l="1"/>
  <c r="J43" i="4"/>
  <c r="M43" i="4" s="1"/>
  <c r="E24" i="3"/>
  <c r="K36" i="4"/>
  <c r="M45" i="4" l="1"/>
  <c r="G24" i="3"/>
  <c r="I24" i="3" s="1"/>
  <c r="M24" i="3" s="1"/>
  <c r="P104" i="2" s="1"/>
  <c r="L43" i="4"/>
  <c r="G26" i="3"/>
  <c r="E26" i="3"/>
  <c r="I26" i="3" l="1"/>
  <c r="M26" i="3" s="1"/>
  <c r="G70" i="2"/>
  <c r="S71" i="2" s="1"/>
  <c r="I71" i="2" s="1"/>
  <c r="G70" i="7"/>
  <c r="G61" i="7"/>
  <c r="E23" i="3"/>
  <c r="K32" i="4"/>
  <c r="E76" i="9"/>
  <c r="E75" i="9"/>
  <c r="E16" i="9"/>
  <c r="E14" i="9"/>
  <c r="E15" i="9"/>
  <c r="E13" i="9"/>
  <c r="E12" i="9"/>
  <c r="G68" i="7"/>
  <c r="F31" i="7"/>
  <c r="M37" i="2"/>
  <c r="K38" i="2" s="1"/>
  <c r="M34" i="2"/>
  <c r="K35" i="2" s="1"/>
  <c r="J15" i="6"/>
  <c r="I41" i="2" s="1"/>
  <c r="K57" i="2"/>
  <c r="J13" i="6"/>
  <c r="J79" i="6" s="1"/>
  <c r="J78" i="6"/>
  <c r="J11" i="6"/>
  <c r="J77" i="6" s="1"/>
  <c r="J112" i="6" s="1"/>
  <c r="I30" i="6"/>
  <c r="I29" i="6"/>
  <c r="I28" i="6"/>
  <c r="I9" i="6"/>
  <c r="I110" i="6" s="1"/>
  <c r="I74" i="6"/>
  <c r="I109" i="6" s="1"/>
  <c r="G44" i="6"/>
  <c r="G43" i="6"/>
  <c r="H24" i="1"/>
  <c r="J24" i="1" s="1"/>
  <c r="L114" i="6"/>
  <c r="K101" i="6"/>
  <c r="O96" i="6"/>
  <c r="O95" i="6"/>
  <c r="F5" i="10"/>
  <c r="F6" i="10"/>
  <c r="F7" i="10"/>
  <c r="F8" i="10"/>
  <c r="F9" i="10"/>
  <c r="F10" i="10"/>
  <c r="F11" i="10"/>
  <c r="F12" i="10"/>
  <c r="D13" i="10"/>
  <c r="E13" i="10"/>
  <c r="F13" i="10"/>
  <c r="F20" i="10"/>
  <c r="F21" i="10"/>
  <c r="F30" i="10"/>
  <c r="F35" i="10"/>
  <c r="F36" i="10"/>
  <c r="F37" i="10"/>
  <c r="F38" i="10"/>
  <c r="F39" i="10"/>
  <c r="F40" i="10"/>
  <c r="D41" i="10"/>
  <c r="E41" i="10"/>
  <c r="F41" i="10"/>
  <c r="F47" i="10"/>
  <c r="D54" i="10"/>
  <c r="E54" i="10"/>
  <c r="F54" i="10"/>
  <c r="D55" i="10"/>
  <c r="F55" i="10"/>
  <c r="C3" i="13"/>
  <c r="C12" i="13" s="1"/>
  <c r="D12" i="13" s="1"/>
  <c r="C4" i="13"/>
  <c r="C13" i="13" s="1"/>
  <c r="D13" i="13" s="1"/>
  <c r="C5" i="13"/>
  <c r="C14" i="13" s="1"/>
  <c r="D14" i="13" s="1"/>
  <c r="C6" i="13"/>
  <c r="C15" i="13" s="1"/>
  <c r="D15" i="13" s="1"/>
  <c r="C7" i="13"/>
  <c r="E12" i="13" s="1"/>
  <c r="F12" i="13" s="1"/>
  <c r="C8" i="13"/>
  <c r="E13" i="13" s="1"/>
  <c r="F13" i="13" s="1"/>
  <c r="E24" i="13"/>
  <c r="C26" i="13"/>
  <c r="C27" i="13"/>
  <c r="G22" i="13"/>
  <c r="K1" i="11"/>
  <c r="J7" i="11"/>
  <c r="K7" i="11"/>
  <c r="L7" i="11"/>
  <c r="B15" i="11"/>
  <c r="E15" i="11"/>
  <c r="H15" i="11"/>
  <c r="L17" i="11"/>
  <c r="K16" i="11"/>
  <c r="H18" i="11"/>
  <c r="B34" i="11"/>
  <c r="E34" i="11"/>
  <c r="E55" i="11"/>
  <c r="H37" i="11"/>
  <c r="B45" i="11"/>
  <c r="C45" i="11"/>
  <c r="D45" i="11"/>
  <c r="E45" i="11"/>
  <c r="F45" i="11"/>
  <c r="G45" i="11"/>
  <c r="H45" i="11"/>
  <c r="I45" i="11"/>
  <c r="J45" i="11"/>
  <c r="K45" i="11"/>
  <c r="L45" i="11"/>
  <c r="B46" i="11"/>
  <c r="C46" i="11"/>
  <c r="D46" i="11"/>
  <c r="F46" i="11"/>
  <c r="B51" i="11"/>
  <c r="C51" i="11"/>
  <c r="D51" i="11"/>
  <c r="E51" i="11"/>
  <c r="B52" i="11"/>
  <c r="C52" i="11"/>
  <c r="D52" i="11"/>
  <c r="E52" i="11"/>
  <c r="B55" i="11"/>
  <c r="B58" i="11"/>
  <c r="E58" i="11"/>
  <c r="E64" i="11"/>
  <c r="I64" i="11"/>
  <c r="J64" i="11"/>
  <c r="E65" i="11"/>
  <c r="I65" i="11"/>
  <c r="J65" i="11"/>
  <c r="I66" i="11"/>
  <c r="J66" i="11"/>
  <c r="I67" i="11"/>
  <c r="J67" i="11"/>
  <c r="I69" i="11"/>
  <c r="I70" i="11"/>
  <c r="I71" i="11"/>
  <c r="I72" i="11"/>
  <c r="G82" i="11"/>
  <c r="G83" i="11"/>
  <c r="G85" i="11"/>
  <c r="M2" i="12"/>
  <c r="M3" i="12"/>
  <c r="M4" i="12"/>
  <c r="M5" i="12"/>
  <c r="M6" i="12"/>
  <c r="M7" i="12"/>
  <c r="M8" i="12"/>
  <c r="M9" i="12"/>
  <c r="M10" i="12"/>
  <c r="M11" i="12"/>
  <c r="M12" i="12"/>
  <c r="M13" i="12"/>
  <c r="M14" i="12"/>
  <c r="M15" i="12"/>
  <c r="M16" i="12"/>
  <c r="M17" i="12"/>
  <c r="M18" i="12"/>
  <c r="M19" i="12"/>
  <c r="M20" i="12"/>
  <c r="M21" i="12"/>
  <c r="M22" i="12"/>
  <c r="M23" i="12"/>
  <c r="E7" i="9"/>
  <c r="E11" i="9"/>
  <c r="E18" i="9"/>
  <c r="E19" i="9"/>
  <c r="E20" i="9"/>
  <c r="E21" i="9"/>
  <c r="E22" i="9"/>
  <c r="C23" i="9"/>
  <c r="D23" i="9"/>
  <c r="E23" i="9"/>
  <c r="E24" i="9"/>
  <c r="E25" i="9"/>
  <c r="E26" i="9"/>
  <c r="E27" i="9"/>
  <c r="E32" i="9"/>
  <c r="E36" i="9"/>
  <c r="E37" i="9"/>
  <c r="E38" i="9"/>
  <c r="E39" i="9"/>
  <c r="E40" i="9"/>
  <c r="E41" i="9"/>
  <c r="C42" i="9"/>
  <c r="D42" i="9"/>
  <c r="E46" i="9"/>
  <c r="E47" i="9"/>
  <c r="E48" i="9"/>
  <c r="E49" i="9"/>
  <c r="E59" i="9"/>
  <c r="E66" i="9"/>
  <c r="E72" i="9"/>
  <c r="E73" i="9"/>
  <c r="E74" i="9"/>
  <c r="E84" i="9"/>
  <c r="E85" i="9"/>
  <c r="E86" i="9"/>
  <c r="E87" i="9"/>
  <c r="E88" i="9"/>
  <c r="F22" i="3"/>
  <c r="L22" i="3"/>
  <c r="G68" i="2" s="1"/>
  <c r="L23" i="3"/>
  <c r="M68" i="2" s="1"/>
  <c r="L27" i="3"/>
  <c r="M71" i="2" s="1"/>
  <c r="G35" i="3"/>
  <c r="G74" i="2" s="1"/>
  <c r="I6" i="7"/>
  <c r="J6" i="7"/>
  <c r="E26" i="7"/>
  <c r="F26" i="7"/>
  <c r="E27" i="7"/>
  <c r="F27" i="7"/>
  <c r="E28" i="7"/>
  <c r="F28" i="7"/>
  <c r="E29" i="7"/>
  <c r="F29" i="7"/>
  <c r="E30" i="7"/>
  <c r="F30" i="7"/>
  <c r="F46" i="7"/>
  <c r="H46" i="7" s="1"/>
  <c r="I46" i="7" s="1"/>
  <c r="J44" i="7" s="1"/>
  <c r="L44" i="7" s="1"/>
  <c r="H49" i="7"/>
  <c r="I49" i="7" s="1"/>
  <c r="J47" i="7" s="1"/>
  <c r="L47" i="7" s="1"/>
  <c r="F52" i="7"/>
  <c r="H52" i="7" s="1"/>
  <c r="F55" i="7"/>
  <c r="H55" i="7" s="1"/>
  <c r="I55" i="7" s="1"/>
  <c r="J53" i="7" s="1"/>
  <c r="L53" i="7" s="1"/>
  <c r="I59" i="7"/>
  <c r="I60" i="7"/>
  <c r="I62" i="7"/>
  <c r="I64" i="7"/>
  <c r="I65" i="7"/>
  <c r="I67" i="7"/>
  <c r="I69" i="7"/>
  <c r="I70" i="7" s="1"/>
  <c r="M53" i="7" s="1"/>
  <c r="M56" i="7" s="1"/>
  <c r="L80" i="7"/>
  <c r="F6" i="7" s="1"/>
  <c r="I56" i="2" s="1"/>
  <c r="L88" i="7"/>
  <c r="J89" i="7"/>
  <c r="L89" i="7" s="1"/>
  <c r="J90" i="7"/>
  <c r="L90" i="7" s="1"/>
  <c r="G95" i="7"/>
  <c r="M105" i="7"/>
  <c r="H6" i="7" s="1"/>
  <c r="M56" i="2" s="1"/>
  <c r="H28" i="6"/>
  <c r="H29" i="6"/>
  <c r="H30" i="6"/>
  <c r="B37" i="6"/>
  <c r="G37" i="6"/>
  <c r="B38" i="6"/>
  <c r="G38" i="6"/>
  <c r="B39" i="6"/>
  <c r="G39" i="6"/>
  <c r="B43" i="6"/>
  <c r="B44" i="6"/>
  <c r="B45" i="6"/>
  <c r="G45" i="6"/>
  <c r="B49" i="6"/>
  <c r="J49" i="6"/>
  <c r="B50" i="6"/>
  <c r="J50" i="6"/>
  <c r="B51" i="6"/>
  <c r="B56" i="6"/>
  <c r="H56" i="6"/>
  <c r="B57" i="6"/>
  <c r="H57" i="6"/>
  <c r="B58" i="6"/>
  <c r="H58" i="6"/>
  <c r="B63" i="6"/>
  <c r="K63" i="6"/>
  <c r="L63" i="6" s="1"/>
  <c r="B64" i="6"/>
  <c r="K64" i="6"/>
  <c r="L64" i="6" s="1"/>
  <c r="B65" i="6"/>
  <c r="K65" i="6"/>
  <c r="L65" i="6" s="1"/>
  <c r="J5" i="4"/>
  <c r="K5" i="4"/>
  <c r="H20" i="4"/>
  <c r="J20" i="4" s="1"/>
  <c r="H21" i="4"/>
  <c r="J21" i="4" s="1"/>
  <c r="H22" i="4"/>
  <c r="J22" i="4" s="1"/>
  <c r="H23" i="4"/>
  <c r="J23" i="4" s="1"/>
  <c r="I24" i="4"/>
  <c r="J41" i="4"/>
  <c r="J42" i="4"/>
  <c r="G23" i="3" s="1"/>
  <c r="J46" i="4"/>
  <c r="M5" i="1"/>
  <c r="M13" i="2" s="1"/>
  <c r="F25" i="1"/>
  <c r="E5" i="1" s="1"/>
  <c r="G25" i="1"/>
  <c r="F5" i="1" s="1"/>
  <c r="I25" i="1"/>
  <c r="H5" i="1" s="1"/>
  <c r="K35" i="1"/>
  <c r="K11" i="2"/>
  <c r="K21" i="2" s="1"/>
  <c r="M23" i="2"/>
  <c r="G34" i="2"/>
  <c r="I34" i="2"/>
  <c r="K34" i="2"/>
  <c r="I35" i="2"/>
  <c r="G37" i="2"/>
  <c r="I37" i="2"/>
  <c r="K37" i="2"/>
  <c r="I38" i="2"/>
  <c r="I46" i="2"/>
  <c r="M46" i="2"/>
  <c r="I59" i="2"/>
  <c r="E42" i="9"/>
  <c r="P11" i="6"/>
  <c r="G40" i="2"/>
  <c r="H34" i="11"/>
  <c r="L36" i="11"/>
  <c r="J68" i="11"/>
  <c r="K35" i="11"/>
  <c r="K56" i="11"/>
  <c r="H58" i="11"/>
  <c r="H55" i="11"/>
  <c r="L57" i="11"/>
  <c r="K40" i="2"/>
  <c r="P13" i="6" l="1"/>
  <c r="M41" i="4"/>
  <c r="I9" i="4"/>
  <c r="I52" i="7"/>
  <c r="J50" i="7" s="1"/>
  <c r="L50" i="7" s="1"/>
  <c r="W37" i="2"/>
  <c r="P15" i="6"/>
  <c r="W38" i="2"/>
  <c r="I68" i="7"/>
  <c r="J81" i="6"/>
  <c r="J116" i="6" s="1"/>
  <c r="P77" i="6"/>
  <c r="M34" i="1"/>
  <c r="I30" i="1" s="1"/>
  <c r="P14" i="6"/>
  <c r="K41" i="2"/>
  <c r="T41" i="2" s="1"/>
  <c r="J80" i="6"/>
  <c r="P80" i="6" s="1"/>
  <c r="P12" i="6"/>
  <c r="I40" i="2"/>
  <c r="X40" i="2" s="1"/>
  <c r="P74" i="6"/>
  <c r="G27" i="3"/>
  <c r="G25" i="3" s="1"/>
  <c r="J44" i="4"/>
  <c r="G22" i="3"/>
  <c r="M42" i="4"/>
  <c r="E27" i="3"/>
  <c r="K35" i="4"/>
  <c r="K38" i="4" s="1"/>
  <c r="E22" i="3"/>
  <c r="H25" i="1"/>
  <c r="I57" i="2"/>
  <c r="I61" i="7"/>
  <c r="M47" i="7" s="1"/>
  <c r="F38" i="7"/>
  <c r="D15" i="7" s="1"/>
  <c r="E38" i="7"/>
  <c r="T37" i="2"/>
  <c r="E14" i="13"/>
  <c r="F14" i="13" s="1"/>
  <c r="M88" i="7"/>
  <c r="H95" i="7" s="1"/>
  <c r="C16" i="13"/>
  <c r="D16" i="13" s="1"/>
  <c r="P9" i="6"/>
  <c r="M40" i="2"/>
  <c r="Z40" i="2" s="1"/>
  <c r="W41" i="2"/>
  <c r="P75" i="6"/>
  <c r="P8" i="6"/>
  <c r="K8" i="6"/>
  <c r="J114" i="6"/>
  <c r="P79" i="6"/>
  <c r="Y40" i="2"/>
  <c r="K74" i="6"/>
  <c r="K109" i="6" s="1"/>
  <c r="J113" i="6"/>
  <c r="P78" i="6"/>
  <c r="X37" i="2"/>
  <c r="I17" i="6"/>
  <c r="J28" i="6"/>
  <c r="O37" i="2"/>
  <c r="Z37" i="2"/>
  <c r="T34" i="2"/>
  <c r="T35" i="2"/>
  <c r="O34" i="2"/>
  <c r="W40" i="2"/>
  <c r="Y38" i="2"/>
  <c r="Y37" i="2"/>
  <c r="T38" i="2"/>
  <c r="L42" i="4"/>
  <c r="M46" i="4"/>
  <c r="M44" i="4" s="1"/>
  <c r="L45" i="4"/>
  <c r="H24" i="4"/>
  <c r="I23" i="3"/>
  <c r="M23" i="3" s="1"/>
  <c r="P102" i="2" s="1"/>
  <c r="J24" i="4"/>
  <c r="G5" i="4" s="1"/>
  <c r="L41" i="4"/>
  <c r="L46" i="4"/>
  <c r="J25" i="1"/>
  <c r="G5" i="1"/>
  <c r="I5" i="1" s="1"/>
  <c r="K97" i="7" l="1"/>
  <c r="J47" i="4"/>
  <c r="L44" i="4"/>
  <c r="L47" i="4" s="1"/>
  <c r="D4" i="1"/>
  <c r="P87" i="2" s="1"/>
  <c r="I8" i="1"/>
  <c r="I83" i="6"/>
  <c r="P83" i="6" s="1"/>
  <c r="M47" i="4"/>
  <c r="L30" i="1"/>
  <c r="L5" i="1" s="1"/>
  <c r="I22" i="3"/>
  <c r="G67" i="2" s="1"/>
  <c r="S68" i="2" s="1"/>
  <c r="I68" i="2" s="1"/>
  <c r="P81" i="6"/>
  <c r="Y41" i="2"/>
  <c r="E25" i="3"/>
  <c r="I25" i="3" s="1"/>
  <c r="I27" i="3"/>
  <c r="M70" i="2" s="1"/>
  <c r="W71" i="2" s="1"/>
  <c r="O71" i="2" s="1"/>
  <c r="M50" i="7"/>
  <c r="E15" i="7" s="1"/>
  <c r="K15" i="7" s="1"/>
  <c r="E6" i="7" s="1"/>
  <c r="J115" i="6"/>
  <c r="O113" i="6" s="1"/>
  <c r="U38" i="2"/>
  <c r="K56" i="2"/>
  <c r="O40" i="2"/>
  <c r="S40" i="2" s="1"/>
  <c r="H35" i="3"/>
  <c r="P108" i="2" s="1"/>
  <c r="G73" i="2"/>
  <c r="S74" i="2" s="1"/>
  <c r="I74" i="2" s="1"/>
  <c r="C17" i="13"/>
  <c r="D17" i="13" s="1"/>
  <c r="T40" i="2"/>
  <c r="U41" i="2" s="1"/>
  <c r="U35" i="2"/>
  <c r="K17" i="6"/>
  <c r="P90" i="2" s="1"/>
  <c r="P17" i="6"/>
  <c r="S37" i="2"/>
  <c r="I43" i="2"/>
  <c r="S34" i="2"/>
  <c r="G43" i="2"/>
  <c r="M67" i="2"/>
  <c r="W68" i="2" s="1"/>
  <c r="O68" i="2" s="1"/>
  <c r="K8" i="1"/>
  <c r="K10" i="2"/>
  <c r="S11" i="2" s="1"/>
  <c r="M11" i="2" s="1"/>
  <c r="H5" i="4" l="1"/>
  <c r="I5" i="4" s="1"/>
  <c r="I118" i="6"/>
  <c r="K83" i="6"/>
  <c r="K118" i="6" s="1"/>
  <c r="M22" i="3"/>
  <c r="P100" i="2" s="1"/>
  <c r="I58" i="4"/>
  <c r="M58" i="4" s="1"/>
  <c r="L5" i="4" s="1"/>
  <c r="I23" i="2" s="1"/>
  <c r="I13" i="2"/>
  <c r="M25" i="3"/>
  <c r="P106" i="2" s="1"/>
  <c r="O112" i="6"/>
  <c r="M27" i="3"/>
  <c r="D4" i="7"/>
  <c r="P92" i="2" s="1"/>
  <c r="G56" i="2"/>
  <c r="O56" i="2" s="1"/>
  <c r="H7" i="7"/>
  <c r="K43" i="2"/>
  <c r="M43" i="2" s="1"/>
  <c r="U43" i="2"/>
  <c r="G12" i="13"/>
  <c r="H12" i="13" s="1"/>
  <c r="I8" i="4" l="1"/>
  <c r="K8" i="4" s="1"/>
  <c r="D4" i="4"/>
  <c r="P89" i="2" s="1"/>
  <c r="K20" i="2"/>
  <c r="S20" i="2" s="1"/>
  <c r="M21" i="2" s="1"/>
</calcChain>
</file>

<file path=xl/comments1.xml><?xml version="1.0" encoding="utf-8"?>
<comments xmlns="http://schemas.openxmlformats.org/spreadsheetml/2006/main">
  <authors>
    <author>Windows ユーザー</author>
  </authors>
  <commentList>
    <comment ref="M56" authorId="0" shapeId="0">
      <text>
        <r>
          <rPr>
            <b/>
            <sz val="9"/>
            <color indexed="81"/>
            <rFont val="MS P ゴシック"/>
            <family val="3"/>
            <charset val="128"/>
          </rPr>
          <t>経常収益がある場合はＩを、経常収益がない場合はＩとＪのどちらか大きい方を足す（４②③表で確認）</t>
        </r>
      </text>
    </comment>
  </commentList>
</comments>
</file>

<file path=xl/comments2.xml><?xml version="1.0" encoding="utf-8"?>
<comments xmlns="http://schemas.openxmlformats.org/spreadsheetml/2006/main">
  <authors>
    <author>CL2103-137t</author>
  </authors>
  <commentList>
    <comment ref="O70" authorId="0" shapeId="0">
      <text>
        <r>
          <rPr>
            <b/>
            <sz val="9"/>
            <color indexed="81"/>
            <rFont val="MS P ゴシック"/>
            <family val="3"/>
            <charset val="128"/>
          </rPr>
          <t>CL2103-137t:</t>
        </r>
        <r>
          <rPr>
            <sz val="9"/>
            <color indexed="81"/>
            <rFont val="MS P ゴシック"/>
            <family val="3"/>
            <charset val="128"/>
          </rPr>
          <t xml:space="preserve">
　　　　　　　　介護保険料　介護保険給付費　　差額
令和３年度　　2,225,154千円　8,476,163千円　△6,251,009千円
令和４年度　　2,211,872千円　8,463,447千円　△6,251,575千円
令和５年度　　2,210,060千円　8,849,976千円　△6,639,916千円</t>
        </r>
      </text>
    </comment>
  </commentList>
</comments>
</file>

<file path=xl/comments3.xml><?xml version="1.0" encoding="utf-8"?>
<comments xmlns="http://schemas.openxmlformats.org/spreadsheetml/2006/main">
  <authors>
    <author>zaise-15s</author>
  </authors>
  <commentList>
    <comment ref="C42" authorId="0" shapeId="0">
      <text>
        <r>
          <rPr>
            <sz val="9"/>
            <color indexed="81"/>
            <rFont val="ＭＳ Ｐゴシック"/>
            <family val="3"/>
            <charset val="128"/>
          </rPr>
          <t xml:space="preserve">家賃低廉化補助金がしばらくもらえるためその分を市営住宅に充当すると、住宅使用料が西島団地の償還金にまわせる  ということで  ここに計上されることになった
都市計画税は、都市計画税のうち都市計画事業債に充当した割合の過去3年間の平均 × 都市計画事業債(下水道事業への算入見込額を含む)  で求められるが、下水道事業への算入見込額が、繰出基準額の減により、減少したため、都市計画税の充当見込み額も減少するという結果となった。
</t>
        </r>
      </text>
    </comment>
  </commentList>
</comments>
</file>

<file path=xl/sharedStrings.xml><?xml version="1.0" encoding="utf-8"?>
<sst xmlns="http://schemas.openxmlformats.org/spreadsheetml/2006/main" count="1778" uniqueCount="907">
  <si>
    <t>４　地方債現在高等に係る基準財政需要額算入見込額</t>
    <phoneticPr fontId="2"/>
  </si>
  <si>
    <t>一部事務組合等の起こした地方債に充てたと認められる補助金又は負担金</t>
    <rPh sb="0" eb="2">
      <t>イチブ</t>
    </rPh>
    <rPh sb="2" eb="4">
      <t>ジム</t>
    </rPh>
    <rPh sb="4" eb="6">
      <t>クミアイ</t>
    </rPh>
    <rPh sb="6" eb="7">
      <t>ナド</t>
    </rPh>
    <rPh sb="8" eb="9">
      <t>オ</t>
    </rPh>
    <rPh sb="12" eb="15">
      <t>チホウサイ</t>
    </rPh>
    <rPh sb="16" eb="17">
      <t>ア</t>
    </rPh>
    <rPh sb="20" eb="21">
      <t>ミト</t>
    </rPh>
    <rPh sb="25" eb="28">
      <t>ホジョキン</t>
    </rPh>
    <rPh sb="28" eb="29">
      <t>マタ</t>
    </rPh>
    <rPh sb="30" eb="33">
      <t>フタンキン</t>
    </rPh>
    <phoneticPr fontId="1"/>
  </si>
  <si>
    <t>公債費に準ずる債務負担行為に係るもの</t>
    <rPh sb="0" eb="3">
      <t>コウサイヒ</t>
    </rPh>
    <rPh sb="4" eb="5">
      <t>ジュン</t>
    </rPh>
    <rPh sb="7" eb="9">
      <t>サイム</t>
    </rPh>
    <rPh sb="9" eb="11">
      <t>フタン</t>
    </rPh>
    <rPh sb="11" eb="13">
      <t>コウイ</t>
    </rPh>
    <rPh sb="14" eb="15">
      <t>カカ</t>
    </rPh>
    <phoneticPr fontId="1"/>
  </si>
  <si>
    <t>一時借入金の利子</t>
    <rPh sb="0" eb="2">
      <t>イチジ</t>
    </rPh>
    <rPh sb="2" eb="4">
      <t>カリイレ</t>
    </rPh>
    <rPh sb="4" eb="5">
      <t>キン</t>
    </rPh>
    <rPh sb="6" eb="8">
      <t>リシ</t>
    </rPh>
    <phoneticPr fontId="1"/>
  </si>
  <si>
    <t>事業費補正により基準財政需要額に算入された公債費</t>
    <rPh sb="0" eb="3">
      <t>ジギョウヒ</t>
    </rPh>
    <rPh sb="3" eb="5">
      <t>ホセイ</t>
    </rPh>
    <rPh sb="8" eb="10">
      <t>キジュン</t>
    </rPh>
    <rPh sb="10" eb="12">
      <t>ザイセイ</t>
    </rPh>
    <rPh sb="12" eb="15">
      <t>ジュヨウガク</t>
    </rPh>
    <rPh sb="16" eb="18">
      <t>サンニュウ</t>
    </rPh>
    <rPh sb="21" eb="24">
      <t>コウサイヒ</t>
    </rPh>
    <phoneticPr fontId="1"/>
  </si>
  <si>
    <t>災害復旧費等に係る基準財政需要額</t>
    <rPh sb="0" eb="2">
      <t>サイガイ</t>
    </rPh>
    <rPh sb="2" eb="5">
      <t>フッキュウヒ</t>
    </rPh>
    <rPh sb="5" eb="6">
      <t>トウ</t>
    </rPh>
    <rPh sb="7" eb="8">
      <t>カカ</t>
    </rPh>
    <rPh sb="9" eb="11">
      <t>キジュン</t>
    </rPh>
    <rPh sb="11" eb="13">
      <t>ザイセイ</t>
    </rPh>
    <rPh sb="13" eb="16">
      <t>ジュヨウガク</t>
    </rPh>
    <phoneticPr fontId="1"/>
  </si>
  <si>
    <t>標準税収入額等</t>
    <rPh sb="0" eb="2">
      <t>ヒョウジュン</t>
    </rPh>
    <rPh sb="2" eb="4">
      <t>ゼイシュウ</t>
    </rPh>
    <rPh sb="5" eb="6">
      <t>ガク</t>
    </rPh>
    <rPh sb="6" eb="7">
      <t>トウ</t>
    </rPh>
    <phoneticPr fontId="1"/>
  </si>
  <si>
    <t>普通交付税額</t>
    <rPh sb="0" eb="2">
      <t>フツウ</t>
    </rPh>
    <rPh sb="2" eb="5">
      <t>コウフゼイ</t>
    </rPh>
    <rPh sb="5" eb="6">
      <t>ガク</t>
    </rPh>
    <phoneticPr fontId="1"/>
  </si>
  <si>
    <t>臨時財政対策債発行可能額</t>
    <rPh sb="0" eb="2">
      <t>リンジ</t>
    </rPh>
    <rPh sb="2" eb="4">
      <t>ザイセイ</t>
    </rPh>
    <rPh sb="4" eb="6">
      <t>タイサク</t>
    </rPh>
    <rPh sb="6" eb="7">
      <t>サイ</t>
    </rPh>
    <rPh sb="7" eb="9">
      <t>ハッコウ</t>
    </rPh>
    <rPh sb="9" eb="11">
      <t>カノウ</t>
    </rPh>
    <rPh sb="11" eb="12">
      <t>ガク</t>
    </rPh>
    <phoneticPr fontId="1"/>
  </si>
  <si>
    <t>①　元利償還金の額（繰上償還額等を除く）</t>
    <rPh sb="2" eb="4">
      <t>ガンリ</t>
    </rPh>
    <rPh sb="4" eb="7">
      <t>ショウカンキン</t>
    </rPh>
    <rPh sb="8" eb="9">
      <t>ガク</t>
    </rPh>
    <rPh sb="10" eb="12">
      <t>クリアゲ</t>
    </rPh>
    <rPh sb="12" eb="14">
      <t>ショウカン</t>
    </rPh>
    <rPh sb="14" eb="16">
      <t>ガクナド</t>
    </rPh>
    <rPh sb="17" eb="18">
      <t>ノゾ</t>
    </rPh>
    <phoneticPr fontId="2"/>
  </si>
  <si>
    <t>公債費
（一般会計等に係るものに限る。）</t>
    <rPh sb="0" eb="3">
      <t>コウサイヒ</t>
    </rPh>
    <phoneticPr fontId="2"/>
  </si>
  <si>
    <t>元利償還金の額（繰上償還額等を除く）</t>
    <rPh sb="0" eb="2">
      <t>ガンリ</t>
    </rPh>
    <rPh sb="2" eb="5">
      <t>ショウカンキン</t>
    </rPh>
    <rPh sb="6" eb="7">
      <t>ガク</t>
    </rPh>
    <rPh sb="8" eb="10">
      <t>クリアゲ</t>
    </rPh>
    <rPh sb="10" eb="12">
      <t>ショウカン</t>
    </rPh>
    <rPh sb="12" eb="14">
      <t>ガクトウ</t>
    </rPh>
    <rPh sb="15" eb="16">
      <t>ノゾ</t>
    </rPh>
    <phoneticPr fontId="1"/>
  </si>
  <si>
    <t>元利償還金の額（繰上償還額等を除く）</t>
    <rPh sb="0" eb="2">
      <t>ガンリ</t>
    </rPh>
    <rPh sb="2" eb="5">
      <t>ショウカンキン</t>
    </rPh>
    <rPh sb="6" eb="7">
      <t>ガク</t>
    </rPh>
    <rPh sb="8" eb="10">
      <t>クリアゲ</t>
    </rPh>
    <rPh sb="10" eb="12">
      <t>ショウカン</t>
    </rPh>
    <rPh sb="12" eb="14">
      <t>ガクナド</t>
    </rPh>
    <rPh sb="15" eb="16">
      <t>ノゾ</t>
    </rPh>
    <phoneticPr fontId="2"/>
  </si>
  <si>
    <t>④</t>
  </si>
  <si>
    <t>特定財源の額</t>
    <rPh sb="0" eb="2">
      <t>トクテイ</t>
    </rPh>
    <rPh sb="2" eb="4">
      <t>ザイゲン</t>
    </rPh>
    <rPh sb="5" eb="6">
      <t>ガク</t>
    </rPh>
    <phoneticPr fontId="1"/>
  </si>
  <si>
    <t>⑧　特定財源の額</t>
    <rPh sb="2" eb="4">
      <t>トクテイ</t>
    </rPh>
    <rPh sb="4" eb="6">
      <t>ザイゲン</t>
    </rPh>
    <rPh sb="7" eb="8">
      <t>ガク</t>
    </rPh>
    <phoneticPr fontId="2"/>
  </si>
  <si>
    <t>都計事業の財源と
して発行された
地方債償還額に
充当した都計税</t>
    <rPh sb="0" eb="1">
      <t>ミヤコ</t>
    </rPh>
    <rPh sb="1" eb="2">
      <t>ケイ</t>
    </rPh>
    <rPh sb="2" eb="4">
      <t>ジギョウ</t>
    </rPh>
    <rPh sb="5" eb="7">
      <t>ザイゲン</t>
    </rPh>
    <rPh sb="11" eb="13">
      <t>ハッコウ</t>
    </rPh>
    <rPh sb="17" eb="20">
      <t>チホウサイ</t>
    </rPh>
    <rPh sb="20" eb="22">
      <t>ショウカン</t>
    </rPh>
    <rPh sb="22" eb="23">
      <t>ガク</t>
    </rPh>
    <rPh sb="25" eb="27">
      <t>ジュウトウ</t>
    </rPh>
    <rPh sb="29" eb="30">
      <t>ミヤコ</t>
    </rPh>
    <rPh sb="30" eb="31">
      <t>ケイ</t>
    </rPh>
    <rPh sb="31" eb="32">
      <t>ゼイ</t>
    </rPh>
    <phoneticPr fontId="2"/>
  </si>
  <si>
    <t>その他</t>
    <phoneticPr fontId="2"/>
  </si>
  <si>
    <t>特定財源の額</t>
    <rPh sb="0" eb="2">
      <t>トクテイ</t>
    </rPh>
    <rPh sb="2" eb="4">
      <t>ザイゲン</t>
    </rPh>
    <rPh sb="5" eb="6">
      <t>ガク</t>
    </rPh>
    <phoneticPr fontId="2"/>
  </si>
  <si>
    <t>国や都道府県等
からの利子補給</t>
    <phoneticPr fontId="2"/>
  </si>
  <si>
    <t>貸付金の財源として発行した地方債に係る貸付金の元利償還金</t>
    <phoneticPr fontId="2"/>
  </si>
  <si>
    <t>公営住宅使用料</t>
    <phoneticPr fontId="2"/>
  </si>
  <si>
    <t>⑧－１　都市計画税充当可能額</t>
    <rPh sb="4" eb="6">
      <t>トシ</t>
    </rPh>
    <rPh sb="6" eb="8">
      <t>ケイカク</t>
    </rPh>
    <rPh sb="8" eb="9">
      <t>ゼイ</t>
    </rPh>
    <rPh sb="9" eb="11">
      <t>ジュウトウ</t>
    </rPh>
    <rPh sb="11" eb="13">
      <t>カノウ</t>
    </rPh>
    <rPh sb="13" eb="14">
      <t>ガク</t>
    </rPh>
    <phoneticPr fontId="2"/>
  </si>
  <si>
    <t>地方債の利子の支払金のうち、減債基金の運用によって生じた利子その他の収入金を財源として支払を行ったもの</t>
    <phoneticPr fontId="2"/>
  </si>
  <si>
    <t>元利償還金</t>
    <rPh sb="0" eb="2">
      <t>ガンリ</t>
    </rPh>
    <rPh sb="2" eb="5">
      <t>ショウカンキン</t>
    </rPh>
    <phoneticPr fontId="2"/>
  </si>
  <si>
    <t>下記表の②～⑦の額の合計</t>
    <rPh sb="0" eb="2">
      <t>カキ</t>
    </rPh>
    <rPh sb="2" eb="3">
      <t>オモテ</t>
    </rPh>
    <rPh sb="8" eb="9">
      <t>ガク</t>
    </rPh>
    <rPh sb="10" eb="12">
      <t>ゴウケイ</t>
    </rPh>
    <phoneticPr fontId="2"/>
  </si>
  <si>
    <t>積立不足額を考慮して算定した額</t>
    <rPh sb="0" eb="2">
      <t>ツミタテ</t>
    </rPh>
    <rPh sb="2" eb="4">
      <t>ブソク</t>
    </rPh>
    <rPh sb="4" eb="5">
      <t>ガク</t>
    </rPh>
    <rPh sb="6" eb="8">
      <t>コウリョ</t>
    </rPh>
    <rPh sb="10" eb="12">
      <t>サンテイ</t>
    </rPh>
    <rPh sb="14" eb="15">
      <t>ガク</t>
    </rPh>
    <phoneticPr fontId="1"/>
  </si>
  <si>
    <t>満期一括償還地方債の１年当たりの元金償還金に相当するもの（年度割相当額）</t>
    <rPh sb="0" eb="2">
      <t>マンキ</t>
    </rPh>
    <rPh sb="2" eb="4">
      <t>イッカツ</t>
    </rPh>
    <rPh sb="4" eb="6">
      <t>ショウカン</t>
    </rPh>
    <rPh sb="6" eb="9">
      <t>チホウサイ</t>
    </rPh>
    <rPh sb="11" eb="12">
      <t>ネン</t>
    </rPh>
    <rPh sb="12" eb="13">
      <t>ア</t>
    </rPh>
    <rPh sb="16" eb="18">
      <t>ガンキン</t>
    </rPh>
    <rPh sb="18" eb="21">
      <t>ショウカンキン</t>
    </rPh>
    <rPh sb="22" eb="24">
      <t>ソウトウ</t>
    </rPh>
    <rPh sb="29" eb="31">
      <t>ネンド</t>
    </rPh>
    <rPh sb="31" eb="32">
      <t>ワ</t>
    </rPh>
    <rPh sb="32" eb="35">
      <t>ソウトウガク</t>
    </rPh>
    <phoneticPr fontId="1"/>
  </si>
  <si>
    <t>公営企業に要する経費の財源とする地方債の償還の財源に充てたと認められる繰入金</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8">
      <t>クリイレキン</t>
    </rPh>
    <phoneticPr fontId="1"/>
  </si>
  <si>
    <t>下記表の⑧の額</t>
    <rPh sb="0" eb="2">
      <t>カキ</t>
    </rPh>
    <rPh sb="2" eb="3">
      <t>オモテ</t>
    </rPh>
    <rPh sb="6" eb="7">
      <t>ガク</t>
    </rPh>
    <phoneticPr fontId="2"/>
  </si>
  <si>
    <t>特定財源</t>
    <phoneticPr fontId="2"/>
  </si>
  <si>
    <t>⑨</t>
    <phoneticPr fontId="2"/>
  </si>
  <si>
    <t>①</t>
    <phoneticPr fontId="2"/>
  </si>
  <si>
    <t>②</t>
    <phoneticPr fontId="2"/>
  </si>
  <si>
    <t>③</t>
    <phoneticPr fontId="2"/>
  </si>
  <si>
    <t>①-②-③-④</t>
    <phoneticPr fontId="2"/>
  </si>
  <si>
    <t>－</t>
    <phoneticPr fontId="2"/>
  </si>
  <si>
    <t>＋</t>
    <phoneticPr fontId="2"/>
  </si>
  <si>
    <t>＝</t>
    <phoneticPr fontId="2"/>
  </si>
  <si>
    <t>②</t>
    <phoneticPr fontId="2"/>
  </si>
  <si>
    <t>元利償還金・準元利償還金に係る基準財政需要額算入額</t>
    <rPh sb="0" eb="2">
      <t>ガンリ</t>
    </rPh>
    <rPh sb="2" eb="5">
      <t>ショウカンキン</t>
    </rPh>
    <rPh sb="6" eb="7">
      <t>ジュン</t>
    </rPh>
    <rPh sb="7" eb="9">
      <t>ガンリ</t>
    </rPh>
    <rPh sb="9" eb="12">
      <t>ショウカンキン</t>
    </rPh>
    <rPh sb="13" eb="14">
      <t>カカワ</t>
    </rPh>
    <rPh sb="15" eb="17">
      <t>キジュン</t>
    </rPh>
    <rPh sb="17" eb="19">
      <t>ザイセイ</t>
    </rPh>
    <rPh sb="19" eb="21">
      <t>ジュヨウ</t>
    </rPh>
    <rPh sb="21" eb="22">
      <t>ガク</t>
    </rPh>
    <rPh sb="22" eb="24">
      <t>サンニュウ</t>
    </rPh>
    <rPh sb="24" eb="25">
      <t>ガク</t>
    </rPh>
    <phoneticPr fontId="2"/>
  </si>
  <si>
    <t>元利・準元利償還
金に係る基準財政
需要額算入額</t>
    <rPh sb="0" eb="2">
      <t>ガンリ</t>
    </rPh>
    <rPh sb="3" eb="4">
      <t>ジュン</t>
    </rPh>
    <rPh sb="6" eb="8">
      <t>ショウカン</t>
    </rPh>
    <rPh sb="9" eb="10">
      <t>キン</t>
    </rPh>
    <rPh sb="11" eb="12">
      <t>カカ</t>
    </rPh>
    <rPh sb="13" eb="15">
      <t>キジュン</t>
    </rPh>
    <rPh sb="15" eb="17">
      <t>ザイセイ</t>
    </rPh>
    <rPh sb="18" eb="19">
      <t>モトメ</t>
    </rPh>
    <rPh sb="19" eb="20">
      <t>ヨウ</t>
    </rPh>
    <rPh sb="20" eb="21">
      <t>ガク</t>
    </rPh>
    <rPh sb="21" eb="23">
      <t>サンニュウ</t>
    </rPh>
    <rPh sb="23" eb="24">
      <t>ガク</t>
    </rPh>
    <phoneticPr fontId="2"/>
  </si>
  <si>
    <t>③　公営企業債等繰入見込額　＝　</t>
    <phoneticPr fontId="2"/>
  </si>
  <si>
    <t>その他</t>
    <rPh sb="2" eb="3">
      <t>ホカ</t>
    </rPh>
    <phoneticPr fontId="2"/>
  </si>
  <si>
    <t>②　</t>
    <phoneticPr fontId="2"/>
  </si>
  <si>
    <t>③　</t>
    <phoneticPr fontId="2"/>
  </si>
  <si>
    <t>＝歳入不足のため,翌年度歳入を繰り上げて充用した額</t>
    <phoneticPr fontId="2"/>
  </si>
  <si>
    <t xml:space="preserve"> ＋ １／５</t>
    <phoneticPr fontId="2"/>
  </si>
  <si>
    <t>×１／２ ＝</t>
    <phoneticPr fontId="2"/>
  </si>
  <si>
    <t>　＋　１／５</t>
    <phoneticPr fontId="2"/>
  </si>
  <si>
    <t>×１／２＝</t>
    <phoneticPr fontId="2"/>
  </si>
  <si>
    <t>　…　標準財政規模が200億～500億の場合</t>
    <phoneticPr fontId="2"/>
  </si>
  <si>
    <t>うち臨時財政対策債
発行可能額</t>
    <rPh sb="2" eb="4">
      <t>リンジ</t>
    </rPh>
    <rPh sb="4" eb="6">
      <t>ザイセイ</t>
    </rPh>
    <rPh sb="6" eb="8">
      <t>タイサク</t>
    </rPh>
    <rPh sb="8" eb="9">
      <t>サイ</t>
    </rPh>
    <rPh sb="10" eb="12">
      <t>ハッコウ</t>
    </rPh>
    <rPh sb="12" eb="14">
      <t>カノウ</t>
    </rPh>
    <rPh sb="14" eb="15">
      <t>ガク</t>
    </rPh>
    <phoneticPr fontId="2"/>
  </si>
  <si>
    <t>①　</t>
    <phoneticPr fontId="2"/>
  </si>
  <si>
    <t>①</t>
    <phoneticPr fontId="2"/>
  </si>
  <si>
    <t>③</t>
    <phoneticPr fontId="2"/>
  </si>
  <si>
    <t>④</t>
    <phoneticPr fontId="2"/>
  </si>
  <si>
    <t>⑤</t>
    <phoneticPr fontId="2"/>
  </si>
  <si>
    <t>⑥</t>
    <phoneticPr fontId="2"/>
  </si>
  <si>
    <t>⑦</t>
    <phoneticPr fontId="2"/>
  </si>
  <si>
    <t>⑧</t>
    <phoneticPr fontId="2"/>
  </si>
  <si>
    <t>（限度額）</t>
    <phoneticPr fontId="2"/>
  </si>
  <si>
    <t>（支出予定額）</t>
    <phoneticPr fontId="2"/>
  </si>
  <si>
    <t>A</t>
    <phoneticPr fontId="2"/>
  </si>
  <si>
    <t>B</t>
    <phoneticPr fontId="2"/>
  </si>
  <si>
    <t>C=A/B</t>
    <phoneticPr fontId="2"/>
  </si>
  <si>
    <t>D</t>
    <phoneticPr fontId="2"/>
  </si>
  <si>
    <t>E=C*D</t>
    <phoneticPr fontId="2"/>
  </si>
  <si>
    <t>F=E/D</t>
    <phoneticPr fontId="2"/>
  </si>
  <si>
    <t>G</t>
    <phoneticPr fontId="2"/>
  </si>
  <si>
    <t>H</t>
    <phoneticPr fontId="2"/>
  </si>
  <si>
    <t>I=G*H</t>
    <phoneticPr fontId="2"/>
  </si>
  <si>
    <t>J</t>
    <phoneticPr fontId="2"/>
  </si>
  <si>
    <t>退職手当
負担見込額</t>
    <phoneticPr fontId="2"/>
  </si>
  <si>
    <t>Ａ</t>
    <phoneticPr fontId="2"/>
  </si>
  <si>
    <t>Ｂ</t>
    <phoneticPr fontId="2"/>
  </si>
  <si>
    <t>Ｃ</t>
    <phoneticPr fontId="2"/>
  </si>
  <si>
    <t>Ｄ</t>
    <phoneticPr fontId="2"/>
  </si>
  <si>
    <t>Ｅ</t>
    <phoneticPr fontId="2"/>
  </si>
  <si>
    <t>Ｆ</t>
    <phoneticPr fontId="2"/>
  </si>
  <si>
    <t>Ｇ＝C+D+E+F</t>
    <phoneticPr fontId="2"/>
  </si>
  <si>
    <t>Ｈ</t>
    <phoneticPr fontId="2"/>
  </si>
  <si>
    <t>A/(B+G-H)</t>
    <phoneticPr fontId="2"/>
  </si>
  <si>
    <t>Ⅰ</t>
    <phoneticPr fontId="2"/>
  </si>
  <si>
    <t>ア</t>
    <phoneticPr fontId="2"/>
  </si>
  <si>
    <t>イ</t>
    <phoneticPr fontId="2"/>
  </si>
  <si>
    <t>ウ</t>
    <phoneticPr fontId="2"/>
  </si>
  <si>
    <t>エ</t>
    <phoneticPr fontId="2"/>
  </si>
  <si>
    <t>オ＝ｱ+ｲ+ｳ+ｴ</t>
    <phoneticPr fontId="2"/>
  </si>
  <si>
    <t>Ⅰ*オ</t>
    <phoneticPr fontId="2"/>
  </si>
  <si>
    <t>５　元利償還金・準元利償還金に係る基準財政需要額算入見込額</t>
    <phoneticPr fontId="2"/>
  </si>
  <si>
    <t>◆</t>
    <phoneticPr fontId="2"/>
  </si>
  <si>
    <t>病院事業</t>
    <phoneticPr fontId="2"/>
  </si>
  <si>
    <t>要する繰出基準額が減となり、準元利償還金算入額が減となった</t>
    <phoneticPr fontId="2"/>
  </si>
  <si>
    <t>標準財政規模</t>
    <phoneticPr fontId="2"/>
  </si>
  <si>
    <t>災害復旧費等</t>
    <phoneticPr fontId="2"/>
  </si>
  <si>
    <t>＝</t>
    <phoneticPr fontId="2"/>
  </si>
  <si>
    <t>都市公園事業費、区画整理事業費の減により都市計画事業費が減、国庫支出金の減、基金繰入金の減により特定財源が減　→　充当率の減</t>
    <rPh sb="0" eb="2">
      <t>トシ</t>
    </rPh>
    <rPh sb="2" eb="4">
      <t>コウエン</t>
    </rPh>
    <rPh sb="4" eb="7">
      <t>ジギョウヒ</t>
    </rPh>
    <rPh sb="8" eb="10">
      <t>クカク</t>
    </rPh>
    <rPh sb="10" eb="12">
      <t>セイリ</t>
    </rPh>
    <rPh sb="12" eb="15">
      <t>ジギョウヒ</t>
    </rPh>
    <rPh sb="16" eb="17">
      <t>ゲン</t>
    </rPh>
    <rPh sb="20" eb="22">
      <t>トシ</t>
    </rPh>
    <rPh sb="22" eb="24">
      <t>ケイカク</t>
    </rPh>
    <rPh sb="24" eb="27">
      <t>ジギョウヒ</t>
    </rPh>
    <rPh sb="28" eb="29">
      <t>ゲン</t>
    </rPh>
    <rPh sb="30" eb="32">
      <t>コッコ</t>
    </rPh>
    <rPh sb="32" eb="35">
      <t>シシュツキン</t>
    </rPh>
    <rPh sb="36" eb="37">
      <t>ゲン</t>
    </rPh>
    <rPh sb="38" eb="40">
      <t>キキン</t>
    </rPh>
    <rPh sb="40" eb="42">
      <t>クリイレ</t>
    </rPh>
    <rPh sb="42" eb="43">
      <t>キン</t>
    </rPh>
    <rPh sb="44" eb="45">
      <t>ゲン</t>
    </rPh>
    <rPh sb="48" eb="50">
      <t>トクテイ</t>
    </rPh>
    <rPh sb="50" eb="52">
      <t>ザイゲン</t>
    </rPh>
    <rPh sb="53" eb="54">
      <t>ゲン</t>
    </rPh>
    <rPh sb="57" eb="59">
      <t>ジュウトウ</t>
    </rPh>
    <rPh sb="59" eb="60">
      <t>リツ</t>
    </rPh>
    <rPh sb="61" eb="62">
      <t>ゲン</t>
    </rPh>
    <phoneticPr fontId="2"/>
  </si>
  <si>
    <t>21年度の都市計画事業債の現在高に誤りがあったため、現在高は大幅な増になっている</t>
    <rPh sb="2" eb="4">
      <t>ネンド</t>
    </rPh>
    <rPh sb="5" eb="7">
      <t>トシ</t>
    </rPh>
    <rPh sb="7" eb="9">
      <t>ケイカク</t>
    </rPh>
    <rPh sb="9" eb="12">
      <t>ジギョウサイ</t>
    </rPh>
    <rPh sb="13" eb="15">
      <t>ゲンザイ</t>
    </rPh>
    <rPh sb="15" eb="16">
      <t>ダカ</t>
    </rPh>
    <rPh sb="17" eb="18">
      <t>アヤマ</t>
    </rPh>
    <rPh sb="26" eb="28">
      <t>ゲンザイ</t>
    </rPh>
    <rPh sb="28" eb="29">
      <t>ダカ</t>
    </rPh>
    <rPh sb="30" eb="32">
      <t>オオハバ</t>
    </rPh>
    <rPh sb="33" eb="34">
      <t>ゾウ</t>
    </rPh>
    <phoneticPr fontId="2"/>
  </si>
  <si>
    <t>　※　20年度に都市計画事業の見直し(街路事業等を除く)を行ったため、都市計画税の充当率が上がっている</t>
    <rPh sb="5" eb="7">
      <t>ネンド</t>
    </rPh>
    <rPh sb="8" eb="10">
      <t>トシ</t>
    </rPh>
    <rPh sb="10" eb="12">
      <t>ケイカク</t>
    </rPh>
    <rPh sb="12" eb="14">
      <t>ジギョウ</t>
    </rPh>
    <rPh sb="15" eb="17">
      <t>ミナオ</t>
    </rPh>
    <rPh sb="19" eb="21">
      <t>ガイロ</t>
    </rPh>
    <rPh sb="21" eb="23">
      <t>ジギョウ</t>
    </rPh>
    <rPh sb="23" eb="24">
      <t>トウ</t>
    </rPh>
    <rPh sb="25" eb="26">
      <t>ノゾ</t>
    </rPh>
    <rPh sb="29" eb="30">
      <t>オコナ</t>
    </rPh>
    <rPh sb="35" eb="37">
      <t>トシ</t>
    </rPh>
    <rPh sb="37" eb="39">
      <t>ケイカク</t>
    </rPh>
    <rPh sb="39" eb="40">
      <t>ゼイ</t>
    </rPh>
    <rPh sb="41" eb="43">
      <t>ジュウトウ</t>
    </rPh>
    <rPh sb="43" eb="44">
      <t>リツ</t>
    </rPh>
    <rPh sb="45" eb="46">
      <t>ア</t>
    </rPh>
    <phoneticPr fontId="2"/>
  </si>
  <si>
    <t>その他</t>
    <rPh sb="2" eb="3">
      <t>タ</t>
    </rPh>
    <phoneticPr fontId="2"/>
  </si>
  <si>
    <t>利子補給</t>
    <rPh sb="0" eb="2">
      <t>リシ</t>
    </rPh>
    <rPh sb="2" eb="4">
      <t>ホキュウ</t>
    </rPh>
    <phoneticPr fontId="2"/>
  </si>
  <si>
    <t>　　＜参考＞　健全化判断比率の推移</t>
    <rPh sb="3" eb="5">
      <t>サンコウ</t>
    </rPh>
    <rPh sb="7" eb="10">
      <t>ケンゼンカ</t>
    </rPh>
    <rPh sb="10" eb="12">
      <t>ハンダン</t>
    </rPh>
    <rPh sb="12" eb="14">
      <t>ヒリツ</t>
    </rPh>
    <rPh sb="15" eb="17">
      <t>スイイ</t>
    </rPh>
    <phoneticPr fontId="2"/>
  </si>
  <si>
    <t>　　＜参考＞　資金不足比率の推移</t>
    <rPh sb="3" eb="5">
      <t>サンコウ</t>
    </rPh>
    <rPh sb="7" eb="9">
      <t>シキン</t>
    </rPh>
    <rPh sb="9" eb="11">
      <t>ブソク</t>
    </rPh>
    <rPh sb="11" eb="13">
      <t>ヒリツ</t>
    </rPh>
    <rPh sb="14" eb="16">
      <t>スイイ</t>
    </rPh>
    <phoneticPr fontId="2"/>
  </si>
  <si>
    <t>　　　　　標準財政規模－元利償還金・準元利償還金に係る基準財政需要額算入額</t>
    <rPh sb="5" eb="7">
      <t>ヒョウジュン</t>
    </rPh>
    <rPh sb="7" eb="9">
      <t>ザイセイ</t>
    </rPh>
    <rPh sb="9" eb="11">
      <t>キボ</t>
    </rPh>
    <rPh sb="12" eb="14">
      <t>ガンリ</t>
    </rPh>
    <rPh sb="14" eb="17">
      <t>ショウカンキン</t>
    </rPh>
    <rPh sb="18" eb="19">
      <t>ジュン</t>
    </rPh>
    <rPh sb="19" eb="21">
      <t>ガンリ</t>
    </rPh>
    <rPh sb="21" eb="24">
      <t>ショウカンキン</t>
    </rPh>
    <rPh sb="25" eb="26">
      <t>カカ</t>
    </rPh>
    <rPh sb="36" eb="37">
      <t>ガク</t>
    </rPh>
    <phoneticPr fontId="2"/>
  </si>
  <si>
    <t>標準財政規模－元利償還金・準元利償還金に係る基準財政需要額算入額</t>
    <rPh sb="0" eb="2">
      <t>ヒョウジュン</t>
    </rPh>
    <rPh sb="2" eb="4">
      <t>ザイセイ</t>
    </rPh>
    <rPh sb="4" eb="6">
      <t>キボ</t>
    </rPh>
    <phoneticPr fontId="2"/>
  </si>
  <si>
    <t>実質赤字比率</t>
    <rPh sb="0" eb="2">
      <t>ジッシツ</t>
    </rPh>
    <rPh sb="2" eb="4">
      <t>アカジ</t>
    </rPh>
    <rPh sb="4" eb="6">
      <t>ヒリツ</t>
    </rPh>
    <phoneticPr fontId="2"/>
  </si>
  <si>
    <t>歳入総額</t>
    <rPh sb="0" eb="2">
      <t>サイニュウ</t>
    </rPh>
    <rPh sb="2" eb="4">
      <t>ソウガク</t>
    </rPh>
    <phoneticPr fontId="2"/>
  </si>
  <si>
    <t>歳出総額</t>
    <rPh sb="0" eb="2">
      <t>サイシュツ</t>
    </rPh>
    <rPh sb="2" eb="4">
      <t>ソウガク</t>
    </rPh>
    <phoneticPr fontId="2"/>
  </si>
  <si>
    <t>差引額</t>
    <rPh sb="0" eb="2">
      <t>サシヒキ</t>
    </rPh>
    <rPh sb="2" eb="3">
      <t>ガク</t>
    </rPh>
    <phoneticPr fontId="2"/>
  </si>
  <si>
    <t>繰越財源</t>
    <rPh sb="0" eb="2">
      <t>クリコシ</t>
    </rPh>
    <rPh sb="2" eb="4">
      <t>ザイゲン</t>
    </rPh>
    <phoneticPr fontId="2"/>
  </si>
  <si>
    <t>実質赤字額</t>
    <rPh sb="0" eb="2">
      <t>ジッシツ</t>
    </rPh>
    <rPh sb="2" eb="4">
      <t>アカジ</t>
    </rPh>
    <rPh sb="4" eb="5">
      <t>ガク</t>
    </rPh>
    <phoneticPr fontId="2"/>
  </si>
  <si>
    <t>標準財政規模</t>
    <rPh sb="0" eb="2">
      <t>ヒョウジュン</t>
    </rPh>
    <rPh sb="2" eb="4">
      <t>ザイセイ</t>
    </rPh>
    <rPh sb="4" eb="6">
      <t>キボ</t>
    </rPh>
    <phoneticPr fontId="2"/>
  </si>
  <si>
    <t>臨時財政対策債
発行可能額</t>
    <rPh sb="0" eb="2">
      <t>リンジ</t>
    </rPh>
    <rPh sb="2" eb="4">
      <t>ザイセイ</t>
    </rPh>
    <rPh sb="4" eb="6">
      <t>タイサク</t>
    </rPh>
    <rPh sb="6" eb="7">
      <t>サイ</t>
    </rPh>
    <rPh sb="8" eb="10">
      <t>ハッコウ</t>
    </rPh>
    <rPh sb="10" eb="12">
      <t>カノウ</t>
    </rPh>
    <rPh sb="12" eb="13">
      <t>ガク</t>
    </rPh>
    <phoneticPr fontId="2"/>
  </si>
  <si>
    <t>一般会計等を対象とした実質赤字額の標準財政規模に対する比率</t>
    <rPh sb="0" eb="2">
      <t>イッパン</t>
    </rPh>
    <rPh sb="2" eb="5">
      <t>カイケイトウ</t>
    </rPh>
    <rPh sb="6" eb="8">
      <t>タイショウ</t>
    </rPh>
    <rPh sb="11" eb="13">
      <t>ジッシツ</t>
    </rPh>
    <rPh sb="13" eb="16">
      <t>アカジガク</t>
    </rPh>
    <rPh sb="17" eb="19">
      <t>ヒョウジュン</t>
    </rPh>
    <rPh sb="19" eb="21">
      <t>ザイセイ</t>
    </rPh>
    <rPh sb="21" eb="23">
      <t>キボ</t>
    </rPh>
    <rPh sb="24" eb="25">
      <t>タイ</t>
    </rPh>
    <rPh sb="27" eb="29">
      <t>ヒリツ</t>
    </rPh>
    <phoneticPr fontId="2"/>
  </si>
  <si>
    <t>　＜算出方法＞</t>
    <rPh sb="2" eb="4">
      <t>サンシュツ</t>
    </rPh>
    <rPh sb="4" eb="6">
      <t>ホウホウ</t>
    </rPh>
    <phoneticPr fontId="2"/>
  </si>
  <si>
    <t>実質赤字比率＝</t>
    <rPh sb="0" eb="2">
      <t>ジッシツ</t>
    </rPh>
    <rPh sb="2" eb="4">
      <t>アカジ</t>
    </rPh>
    <rPh sb="4" eb="6">
      <t>ヒリツ</t>
    </rPh>
    <phoneticPr fontId="2"/>
  </si>
  <si>
    <t>一般会計等の実質赤字額</t>
    <rPh sb="0" eb="2">
      <t>イッパン</t>
    </rPh>
    <rPh sb="2" eb="5">
      <t>カイケイトウ</t>
    </rPh>
    <rPh sb="6" eb="8">
      <t>ジッシツ</t>
    </rPh>
    <rPh sb="8" eb="11">
      <t>アカジガク</t>
    </rPh>
    <phoneticPr fontId="2"/>
  </si>
  <si>
    <t>(1)　一般会計等　＝　一般会計及び特別会計のうち①～③以外のもの</t>
    <rPh sb="4" eb="6">
      <t>イッパン</t>
    </rPh>
    <rPh sb="6" eb="9">
      <t>カイケイトウ</t>
    </rPh>
    <rPh sb="12" eb="14">
      <t>イッパン</t>
    </rPh>
    <rPh sb="14" eb="16">
      <t>カイケイ</t>
    </rPh>
    <rPh sb="16" eb="17">
      <t>オヨ</t>
    </rPh>
    <rPh sb="18" eb="20">
      <t>トクベツ</t>
    </rPh>
    <rPh sb="20" eb="22">
      <t>カイケイ</t>
    </rPh>
    <rPh sb="28" eb="30">
      <t>イガイ</t>
    </rPh>
    <phoneticPr fontId="2"/>
  </si>
  <si>
    <t>地方公営企業法第２条の適用企業に係る特別会計</t>
    <rPh sb="0" eb="2">
      <t>チホウ</t>
    </rPh>
    <rPh sb="2" eb="4">
      <t>コウエイ</t>
    </rPh>
    <rPh sb="4" eb="6">
      <t>キギョウ</t>
    </rPh>
    <rPh sb="6" eb="7">
      <t>ホウ</t>
    </rPh>
    <rPh sb="7" eb="8">
      <t>ダイ</t>
    </rPh>
    <rPh sb="9" eb="10">
      <t>ジョウ</t>
    </rPh>
    <rPh sb="11" eb="13">
      <t>テキヨウ</t>
    </rPh>
    <rPh sb="13" eb="15">
      <t>キギョウ</t>
    </rPh>
    <rPh sb="16" eb="17">
      <t>カカ</t>
    </rPh>
    <rPh sb="18" eb="20">
      <t>トクベツ</t>
    </rPh>
    <rPh sb="20" eb="22">
      <t>カイケイ</t>
    </rPh>
    <phoneticPr fontId="2"/>
  </si>
  <si>
    <t>病院事業・水道事業</t>
    <rPh sb="0" eb="2">
      <t>ビョウイン</t>
    </rPh>
    <rPh sb="2" eb="4">
      <t>ジギョウ</t>
    </rPh>
    <rPh sb="5" eb="7">
      <t>スイドウ</t>
    </rPh>
    <rPh sb="7" eb="9">
      <t>ジギョウ</t>
    </rPh>
    <phoneticPr fontId="2"/>
  </si>
  <si>
    <t>宅地造成事業・公共下水道事業</t>
    <rPh sb="0" eb="2">
      <t>タクチ</t>
    </rPh>
    <rPh sb="2" eb="4">
      <t>ゾウセイ</t>
    </rPh>
    <rPh sb="4" eb="6">
      <t>ジギョウ</t>
    </rPh>
    <rPh sb="7" eb="9">
      <t>コウキョウ</t>
    </rPh>
    <rPh sb="9" eb="12">
      <t>ゲスイドウ</t>
    </rPh>
    <rPh sb="12" eb="14">
      <t>ジギョウ</t>
    </rPh>
    <phoneticPr fontId="2"/>
  </si>
  <si>
    <t>(2)　実質赤字額　＝　繰上充用額　＋　（支払繰延額　＋　事業繰越額）</t>
    <rPh sb="4" eb="6">
      <t>ジッシツ</t>
    </rPh>
    <rPh sb="6" eb="9">
      <t>アカジガク</t>
    </rPh>
    <rPh sb="12" eb="14">
      <t>クリアゲ</t>
    </rPh>
    <rPh sb="14" eb="16">
      <t>ジュウヨウ</t>
    </rPh>
    <rPh sb="16" eb="17">
      <t>ガク</t>
    </rPh>
    <rPh sb="21" eb="23">
      <t>シハライ</t>
    </rPh>
    <rPh sb="23" eb="25">
      <t>クリノベ</t>
    </rPh>
    <rPh sb="25" eb="26">
      <t>ガク</t>
    </rPh>
    <rPh sb="29" eb="31">
      <t>ジギョウ</t>
    </rPh>
    <rPh sb="31" eb="33">
      <t>クリコシ</t>
    </rPh>
    <rPh sb="33" eb="34">
      <t>ガク</t>
    </rPh>
    <phoneticPr fontId="2"/>
  </si>
  <si>
    <t>繰上充用額</t>
    <rPh sb="0" eb="2">
      <t>クリアゲ</t>
    </rPh>
    <rPh sb="2" eb="4">
      <t>ジュウヨウ</t>
    </rPh>
    <rPh sb="4" eb="5">
      <t>ガク</t>
    </rPh>
    <phoneticPr fontId="2"/>
  </si>
  <si>
    <t>＝形式赤字＋（継続費の逓次繰越額＋繰越明許費繰越額＋事故繰越額－未収入特定財源）</t>
    <rPh sb="1" eb="3">
      <t>ケイシキ</t>
    </rPh>
    <rPh sb="3" eb="5">
      <t>アカジ</t>
    </rPh>
    <rPh sb="7" eb="9">
      <t>ケイゾク</t>
    </rPh>
    <rPh sb="9" eb="10">
      <t>ヒ</t>
    </rPh>
    <rPh sb="11" eb="13">
      <t>テイジ</t>
    </rPh>
    <rPh sb="13" eb="15">
      <t>クリコシ</t>
    </rPh>
    <rPh sb="15" eb="16">
      <t>ガク</t>
    </rPh>
    <rPh sb="17" eb="19">
      <t>クリコシ</t>
    </rPh>
    <rPh sb="19" eb="21">
      <t>メイキョ</t>
    </rPh>
    <rPh sb="21" eb="22">
      <t>ヒ</t>
    </rPh>
    <rPh sb="22" eb="24">
      <t>クリコシ</t>
    </rPh>
    <rPh sb="24" eb="25">
      <t>ガク</t>
    </rPh>
    <rPh sb="26" eb="28">
      <t>ジコ</t>
    </rPh>
    <rPh sb="28" eb="30">
      <t>クリコシ</t>
    </rPh>
    <rPh sb="30" eb="31">
      <t>ガク</t>
    </rPh>
    <rPh sb="32" eb="35">
      <t>ミシュウニュウ</t>
    </rPh>
    <rPh sb="35" eb="37">
      <t>トクテイ</t>
    </rPh>
    <rPh sb="37" eb="39">
      <t>ザイゲン</t>
    </rPh>
    <phoneticPr fontId="2"/>
  </si>
  <si>
    <t>支払繰延額</t>
    <rPh sb="0" eb="2">
      <t>シハライ</t>
    </rPh>
    <rPh sb="2" eb="4">
      <t>クリノベ</t>
    </rPh>
    <rPh sb="4" eb="5">
      <t>ガク</t>
    </rPh>
    <phoneticPr fontId="2"/>
  </si>
  <si>
    <t>＝実質上歳入不足のため、支払いを翌年度に繰り延べた額</t>
    <rPh sb="1" eb="4">
      <t>ジッシツジョウ</t>
    </rPh>
    <rPh sb="4" eb="6">
      <t>サイニュウ</t>
    </rPh>
    <rPh sb="6" eb="8">
      <t>フソク</t>
    </rPh>
    <rPh sb="12" eb="14">
      <t>シハラ</t>
    </rPh>
    <rPh sb="16" eb="19">
      <t>ヨクネンド</t>
    </rPh>
    <rPh sb="20" eb="21">
      <t>ク</t>
    </rPh>
    <rPh sb="22" eb="23">
      <t>ノ</t>
    </rPh>
    <rPh sb="25" eb="26">
      <t>ガク</t>
    </rPh>
    <phoneticPr fontId="2"/>
  </si>
  <si>
    <t>事業繰越額</t>
    <rPh sb="0" eb="2">
      <t>ジギョウ</t>
    </rPh>
    <rPh sb="2" eb="4">
      <t>クリコシ</t>
    </rPh>
    <rPh sb="4" eb="5">
      <t>ガク</t>
    </rPh>
    <phoneticPr fontId="2"/>
  </si>
  <si>
    <t>＝実質上歳入不足のため、事業を繰り越した額</t>
    <rPh sb="1" eb="4">
      <t>ジッシツジョウ</t>
    </rPh>
    <rPh sb="4" eb="6">
      <t>サイニュウ</t>
    </rPh>
    <rPh sb="6" eb="8">
      <t>フソク</t>
    </rPh>
    <rPh sb="12" eb="14">
      <t>ジギョウ</t>
    </rPh>
    <rPh sb="15" eb="16">
      <t>ク</t>
    </rPh>
    <rPh sb="17" eb="18">
      <t>コ</t>
    </rPh>
    <rPh sb="20" eb="21">
      <t>ガク</t>
    </rPh>
    <phoneticPr fontId="2"/>
  </si>
  <si>
    <t>(3)　標準財政規模　＝　臨時財政対策債発行可能額を含む</t>
    <rPh sb="4" eb="6">
      <t>ヒョウジュン</t>
    </rPh>
    <rPh sb="6" eb="8">
      <t>ザイセイ</t>
    </rPh>
    <rPh sb="8" eb="10">
      <t>キボ</t>
    </rPh>
    <rPh sb="13" eb="15">
      <t>リンジ</t>
    </rPh>
    <rPh sb="15" eb="17">
      <t>ザイセイ</t>
    </rPh>
    <rPh sb="17" eb="19">
      <t>タイサク</t>
    </rPh>
    <rPh sb="19" eb="20">
      <t>サイ</t>
    </rPh>
    <rPh sb="20" eb="22">
      <t>ハッコウ</t>
    </rPh>
    <rPh sb="22" eb="24">
      <t>カノウ</t>
    </rPh>
    <rPh sb="24" eb="25">
      <t>ガク</t>
    </rPh>
    <rPh sb="26" eb="27">
      <t>フク</t>
    </rPh>
    <phoneticPr fontId="2"/>
  </si>
  <si>
    <t>一般会計</t>
    <rPh sb="0" eb="2">
      <t>イッパン</t>
    </rPh>
    <rPh sb="2" eb="4">
      <t>カイケイ</t>
    </rPh>
    <phoneticPr fontId="2"/>
  </si>
  <si>
    <t>祖父江霊園事業</t>
    <rPh sb="0" eb="3">
      <t>ソブエ</t>
    </rPh>
    <rPh sb="3" eb="5">
      <t>レイエン</t>
    </rPh>
    <rPh sb="5" eb="7">
      <t>ジギョウ</t>
    </rPh>
    <phoneticPr fontId="2"/>
  </si>
  <si>
    <t>計</t>
    <rPh sb="0" eb="1">
      <t>ケイ</t>
    </rPh>
    <phoneticPr fontId="2"/>
  </si>
  <si>
    <t>会計名</t>
    <rPh sb="0" eb="2">
      <t>カイケイ</t>
    </rPh>
    <rPh sb="2" eb="3">
      <t>ナ</t>
    </rPh>
    <phoneticPr fontId="2"/>
  </si>
  <si>
    <t>連結実質赤字比率</t>
    <rPh sb="0" eb="2">
      <t>レンケツ</t>
    </rPh>
    <rPh sb="2" eb="4">
      <t>ジッシツ</t>
    </rPh>
    <rPh sb="4" eb="6">
      <t>アカジ</t>
    </rPh>
    <rPh sb="6" eb="8">
      <t>ヒリツ</t>
    </rPh>
    <phoneticPr fontId="2"/>
  </si>
  <si>
    <t>全会計を対象とした実質赤字額（又は資金の不足額）の標準財政規模に対する比率</t>
    <rPh sb="0" eb="1">
      <t>ゼン</t>
    </rPh>
    <rPh sb="1" eb="3">
      <t>カイケイ</t>
    </rPh>
    <rPh sb="4" eb="6">
      <t>タイショウ</t>
    </rPh>
    <rPh sb="9" eb="11">
      <t>ジッシツ</t>
    </rPh>
    <rPh sb="11" eb="14">
      <t>アカジガク</t>
    </rPh>
    <rPh sb="15" eb="16">
      <t>マタ</t>
    </rPh>
    <rPh sb="17" eb="19">
      <t>シキン</t>
    </rPh>
    <rPh sb="20" eb="22">
      <t>フソク</t>
    </rPh>
    <rPh sb="22" eb="23">
      <t>ガク</t>
    </rPh>
    <rPh sb="25" eb="27">
      <t>ヒョウジュン</t>
    </rPh>
    <rPh sb="27" eb="29">
      <t>ザイセイ</t>
    </rPh>
    <rPh sb="29" eb="31">
      <t>キボ</t>
    </rPh>
    <rPh sb="32" eb="33">
      <t>タイ</t>
    </rPh>
    <rPh sb="35" eb="37">
      <t>ヒリツ</t>
    </rPh>
    <phoneticPr fontId="2"/>
  </si>
  <si>
    <t>連結実質赤字比率＝</t>
    <rPh sb="0" eb="2">
      <t>レンケツ</t>
    </rPh>
    <rPh sb="2" eb="4">
      <t>ジッシツ</t>
    </rPh>
    <rPh sb="4" eb="6">
      <t>アカジ</t>
    </rPh>
    <rPh sb="6" eb="8">
      <t>ヒリツ</t>
    </rPh>
    <phoneticPr fontId="2"/>
  </si>
  <si>
    <t>連結実質赤字額</t>
    <rPh sb="0" eb="2">
      <t>レンケツ</t>
    </rPh>
    <rPh sb="2" eb="4">
      <t>ジッシツ</t>
    </rPh>
    <rPh sb="4" eb="7">
      <t>アカジガク</t>
    </rPh>
    <phoneticPr fontId="2"/>
  </si>
  <si>
    <t>一般会計及び公営企業以外の特別会計のうち実質赤字を生じた会計の実質赤字の合計額</t>
    <rPh sb="0" eb="2">
      <t>イッパン</t>
    </rPh>
    <rPh sb="2" eb="4">
      <t>カイケイ</t>
    </rPh>
    <rPh sb="4" eb="5">
      <t>オヨ</t>
    </rPh>
    <rPh sb="6" eb="8">
      <t>コウエイ</t>
    </rPh>
    <rPh sb="8" eb="10">
      <t>キギョウ</t>
    </rPh>
    <rPh sb="10" eb="12">
      <t>イガイ</t>
    </rPh>
    <rPh sb="13" eb="15">
      <t>トクベツ</t>
    </rPh>
    <rPh sb="15" eb="17">
      <t>カイケイ</t>
    </rPh>
    <rPh sb="20" eb="22">
      <t>ジッシツ</t>
    </rPh>
    <rPh sb="22" eb="24">
      <t>アカジ</t>
    </rPh>
    <rPh sb="25" eb="26">
      <t>ショウ</t>
    </rPh>
    <rPh sb="28" eb="30">
      <t>カイケイ</t>
    </rPh>
    <rPh sb="31" eb="33">
      <t>ジッシツ</t>
    </rPh>
    <rPh sb="33" eb="35">
      <t>アカジ</t>
    </rPh>
    <rPh sb="36" eb="38">
      <t>ゴウケイ</t>
    </rPh>
    <rPh sb="38" eb="39">
      <t>ガク</t>
    </rPh>
    <phoneticPr fontId="2"/>
  </si>
  <si>
    <t>公営企業の特別会計のうち、資金不足額を生じた会計の資金の不足額の合計額</t>
    <rPh sb="0" eb="2">
      <t>コウエイ</t>
    </rPh>
    <rPh sb="2" eb="4">
      <t>キギョウ</t>
    </rPh>
    <rPh sb="5" eb="7">
      <t>トクベツ</t>
    </rPh>
    <rPh sb="7" eb="9">
      <t>カイケイ</t>
    </rPh>
    <rPh sb="13" eb="15">
      <t>シキン</t>
    </rPh>
    <rPh sb="15" eb="17">
      <t>フソク</t>
    </rPh>
    <rPh sb="17" eb="18">
      <t>ガク</t>
    </rPh>
    <rPh sb="19" eb="20">
      <t>ショウ</t>
    </rPh>
    <rPh sb="22" eb="24">
      <t>カイケイ</t>
    </rPh>
    <rPh sb="25" eb="27">
      <t>シキン</t>
    </rPh>
    <rPh sb="28" eb="30">
      <t>フソク</t>
    </rPh>
    <rPh sb="30" eb="31">
      <t>ガク</t>
    </rPh>
    <rPh sb="32" eb="34">
      <t>ゴウケイ</t>
    </rPh>
    <rPh sb="34" eb="35">
      <t>ガク</t>
    </rPh>
    <phoneticPr fontId="2"/>
  </si>
  <si>
    <t>一般会計及び公営企業以外の特別会計のうち実質黒字を生じた会計の実質黒字の合計額</t>
    <rPh sb="0" eb="2">
      <t>イッパン</t>
    </rPh>
    <rPh sb="2" eb="4">
      <t>カイケイ</t>
    </rPh>
    <rPh sb="4" eb="5">
      <t>オヨ</t>
    </rPh>
    <rPh sb="6" eb="8">
      <t>コウエイ</t>
    </rPh>
    <rPh sb="8" eb="10">
      <t>キギョウ</t>
    </rPh>
    <rPh sb="10" eb="12">
      <t>イガイ</t>
    </rPh>
    <rPh sb="13" eb="15">
      <t>トクベツ</t>
    </rPh>
    <rPh sb="15" eb="17">
      <t>カイケイ</t>
    </rPh>
    <rPh sb="20" eb="22">
      <t>ジッシツ</t>
    </rPh>
    <rPh sb="22" eb="24">
      <t>クロジ</t>
    </rPh>
    <rPh sb="25" eb="26">
      <t>ショウ</t>
    </rPh>
    <rPh sb="28" eb="30">
      <t>カイケイ</t>
    </rPh>
    <rPh sb="31" eb="33">
      <t>ジッシツ</t>
    </rPh>
    <rPh sb="33" eb="35">
      <t>クロジ</t>
    </rPh>
    <rPh sb="36" eb="38">
      <t>ゴウケイ</t>
    </rPh>
    <rPh sb="38" eb="39">
      <t>ガク</t>
    </rPh>
    <phoneticPr fontId="2"/>
  </si>
  <si>
    <t>資金不足額
の合計額</t>
    <rPh sb="0" eb="2">
      <t>シキン</t>
    </rPh>
    <rPh sb="2" eb="4">
      <t>フソク</t>
    </rPh>
    <rPh sb="4" eb="5">
      <t>ガク</t>
    </rPh>
    <rPh sb="7" eb="9">
      <t>ゴウケイ</t>
    </rPh>
    <rPh sb="9" eb="10">
      <t>ガク</t>
    </rPh>
    <phoneticPr fontId="2"/>
  </si>
  <si>
    <t>実質赤字
の合計額</t>
    <rPh sb="0" eb="2">
      <t>ジッシツ</t>
    </rPh>
    <rPh sb="2" eb="4">
      <t>アカジ</t>
    </rPh>
    <rPh sb="6" eb="8">
      <t>ゴウケイ</t>
    </rPh>
    <rPh sb="8" eb="9">
      <t>ガク</t>
    </rPh>
    <phoneticPr fontId="2"/>
  </si>
  <si>
    <t>実質黒字
の合計額</t>
    <rPh sb="0" eb="2">
      <t>ジッシツ</t>
    </rPh>
    <rPh sb="2" eb="3">
      <t>クロ</t>
    </rPh>
    <rPh sb="3" eb="4">
      <t>ジ</t>
    </rPh>
    <rPh sb="6" eb="8">
      <t>ゴウケイ</t>
    </rPh>
    <rPh sb="8" eb="9">
      <t>ガク</t>
    </rPh>
    <phoneticPr fontId="2"/>
  </si>
  <si>
    <t>資金剰余金
の合計額</t>
    <rPh sb="0" eb="2">
      <t>シキン</t>
    </rPh>
    <rPh sb="2" eb="5">
      <t>ジョウヨキン</t>
    </rPh>
    <rPh sb="7" eb="9">
      <t>ゴウケイ</t>
    </rPh>
    <rPh sb="9" eb="10">
      <t>ガク</t>
    </rPh>
    <phoneticPr fontId="2"/>
  </si>
  <si>
    <t>連結実質
赤字額</t>
    <rPh sb="0" eb="2">
      <t>レンケツ</t>
    </rPh>
    <rPh sb="2" eb="4">
      <t>ジッシツ</t>
    </rPh>
    <rPh sb="5" eb="7">
      <t>アカジ</t>
    </rPh>
    <rPh sb="7" eb="8">
      <t>ガク</t>
    </rPh>
    <phoneticPr fontId="2"/>
  </si>
  <si>
    <t>(2)　実質黒字額　＝　歳入（繰上充用額、支払繰延額、事業繰越額を除く）が歳出を超える場合の当該超える額</t>
    <rPh sb="4" eb="6">
      <t>ジッシツ</t>
    </rPh>
    <rPh sb="6" eb="8">
      <t>クロジ</t>
    </rPh>
    <rPh sb="8" eb="9">
      <t>ガク</t>
    </rPh>
    <rPh sb="12" eb="14">
      <t>サイニュウ</t>
    </rPh>
    <rPh sb="15" eb="17">
      <t>クリアゲ</t>
    </rPh>
    <rPh sb="17" eb="19">
      <t>ジュウヨウ</t>
    </rPh>
    <rPh sb="19" eb="20">
      <t>ガク</t>
    </rPh>
    <rPh sb="21" eb="23">
      <t>シハライ</t>
    </rPh>
    <rPh sb="23" eb="25">
      <t>クリノベ</t>
    </rPh>
    <rPh sb="25" eb="26">
      <t>ガク</t>
    </rPh>
    <rPh sb="27" eb="29">
      <t>ジギョウ</t>
    </rPh>
    <rPh sb="29" eb="31">
      <t>クリコシ</t>
    </rPh>
    <rPh sb="31" eb="32">
      <t>ガク</t>
    </rPh>
    <rPh sb="33" eb="34">
      <t>ノゾ</t>
    </rPh>
    <rPh sb="37" eb="39">
      <t>サイシュツ</t>
    </rPh>
    <rPh sb="40" eb="41">
      <t>コ</t>
    </rPh>
    <rPh sb="43" eb="45">
      <t>バアイ</t>
    </rPh>
    <rPh sb="46" eb="48">
      <t>トウガイ</t>
    </rPh>
    <rPh sb="48" eb="49">
      <t>コ</t>
    </rPh>
    <rPh sb="51" eb="52">
      <t>ガク</t>
    </rPh>
    <phoneticPr fontId="2"/>
  </si>
  <si>
    <t>実質黒字額</t>
    <rPh sb="0" eb="2">
      <t>ジッシツ</t>
    </rPh>
    <rPh sb="2" eb="3">
      <t>クロ</t>
    </rPh>
    <rPh sb="3" eb="4">
      <t>ジ</t>
    </rPh>
    <rPh sb="4" eb="5">
      <t>ガク</t>
    </rPh>
    <phoneticPr fontId="2"/>
  </si>
  <si>
    <t>国民健康保険事業</t>
    <rPh sb="0" eb="2">
      <t>コクミン</t>
    </rPh>
    <rPh sb="2" eb="4">
      <t>ケンコウ</t>
    </rPh>
    <rPh sb="4" eb="6">
      <t>ホケン</t>
    </rPh>
    <rPh sb="6" eb="8">
      <t>ジギョウ</t>
    </rPh>
    <phoneticPr fontId="2"/>
  </si>
  <si>
    <t>介護保険事業</t>
    <rPh sb="0" eb="2">
      <t>カイゴ</t>
    </rPh>
    <rPh sb="2" eb="4">
      <t>ホケン</t>
    </rPh>
    <rPh sb="4" eb="6">
      <t>ジギョウ</t>
    </rPh>
    <phoneticPr fontId="2"/>
  </si>
  <si>
    <t>水道事業</t>
    <rPh sb="0" eb="2">
      <t>スイドウ</t>
    </rPh>
    <rPh sb="2" eb="4">
      <t>ジギョウ</t>
    </rPh>
    <phoneticPr fontId="2"/>
  </si>
  <si>
    <t>解消可能資金不足額</t>
    <rPh sb="0" eb="2">
      <t>カイショウ</t>
    </rPh>
    <rPh sb="2" eb="4">
      <t>カノウ</t>
    </rPh>
    <rPh sb="4" eb="6">
      <t>シキン</t>
    </rPh>
    <rPh sb="6" eb="8">
      <t>フソク</t>
    </rPh>
    <rPh sb="8" eb="9">
      <t>ガク</t>
    </rPh>
    <phoneticPr fontId="2"/>
  </si>
  <si>
    <t>流動負債の額</t>
    <rPh sb="0" eb="2">
      <t>リュウドウ</t>
    </rPh>
    <rPh sb="2" eb="4">
      <t>フサイ</t>
    </rPh>
    <rPh sb="5" eb="6">
      <t>ガク</t>
    </rPh>
    <phoneticPr fontId="2"/>
  </si>
  <si>
    <t>算入地方債の
現在高</t>
    <rPh sb="0" eb="2">
      <t>サンニュウ</t>
    </rPh>
    <rPh sb="2" eb="5">
      <t>チホウサイ</t>
    </rPh>
    <rPh sb="7" eb="10">
      <t>ゲンザイダカ</t>
    </rPh>
    <phoneticPr fontId="2"/>
  </si>
  <si>
    <t>流動資産の額</t>
    <rPh sb="0" eb="2">
      <t>リュウドウ</t>
    </rPh>
    <rPh sb="2" eb="4">
      <t>シサン</t>
    </rPh>
    <rPh sb="5" eb="6">
      <t>ガク</t>
    </rPh>
    <phoneticPr fontId="2"/>
  </si>
  <si>
    <t>解消可能
資金不足額</t>
    <rPh sb="0" eb="2">
      <t>カイショウ</t>
    </rPh>
    <rPh sb="2" eb="4">
      <t>カノウ</t>
    </rPh>
    <rPh sb="5" eb="7">
      <t>シキン</t>
    </rPh>
    <rPh sb="7" eb="9">
      <t>フソク</t>
    </rPh>
    <rPh sb="9" eb="10">
      <t>ガク</t>
    </rPh>
    <phoneticPr fontId="2"/>
  </si>
  <si>
    <t>(1)　連結実質赤字額　＝　①・②の合計額が③・④の合計額を超える場合の当該超えた額</t>
    <rPh sb="4" eb="6">
      <t>レンケツ</t>
    </rPh>
    <rPh sb="6" eb="8">
      <t>ジッシツ</t>
    </rPh>
    <rPh sb="8" eb="11">
      <t>アカジガク</t>
    </rPh>
    <rPh sb="18" eb="20">
      <t>ゴウケイ</t>
    </rPh>
    <rPh sb="20" eb="21">
      <t>ガク</t>
    </rPh>
    <rPh sb="26" eb="28">
      <t>ゴウケイ</t>
    </rPh>
    <rPh sb="28" eb="29">
      <t>ガク</t>
    </rPh>
    <rPh sb="30" eb="31">
      <t>コ</t>
    </rPh>
    <rPh sb="33" eb="35">
      <t>バアイ</t>
    </rPh>
    <rPh sb="36" eb="38">
      <t>トウガイ</t>
    </rPh>
    <rPh sb="38" eb="39">
      <t>コ</t>
    </rPh>
    <rPh sb="41" eb="42">
      <t>ガク</t>
    </rPh>
    <phoneticPr fontId="2"/>
  </si>
  <si>
    <t>資金の不足額</t>
    <rPh sb="0" eb="2">
      <t>シキン</t>
    </rPh>
    <rPh sb="3" eb="5">
      <t>フソク</t>
    </rPh>
    <rPh sb="5" eb="6">
      <t>ガク</t>
    </rPh>
    <phoneticPr fontId="2"/>
  </si>
  <si>
    <t>公共下水道事業</t>
    <rPh sb="0" eb="2">
      <t>コウキョウ</t>
    </rPh>
    <rPh sb="2" eb="5">
      <t>ゲスイドウ</t>
    </rPh>
    <rPh sb="5" eb="7">
      <t>ジギョウ</t>
    </rPh>
    <phoneticPr fontId="2"/>
  </si>
  <si>
    <t>農業集落排水事業</t>
    <rPh sb="0" eb="2">
      <t>ノウギョウ</t>
    </rPh>
    <rPh sb="2" eb="4">
      <t>シュウラク</t>
    </rPh>
    <rPh sb="4" eb="6">
      <t>ハイスイ</t>
    </rPh>
    <rPh sb="6" eb="8">
      <t>ジギョウ</t>
    </rPh>
    <phoneticPr fontId="2"/>
  </si>
  <si>
    <t>稲沢西区画整理事業</t>
    <rPh sb="0" eb="2">
      <t>イナザワ</t>
    </rPh>
    <rPh sb="2" eb="3">
      <t>ニシ</t>
    </rPh>
    <rPh sb="3" eb="5">
      <t>クカク</t>
    </rPh>
    <rPh sb="5" eb="7">
      <t>セイリ</t>
    </rPh>
    <rPh sb="7" eb="9">
      <t>ジギョウ</t>
    </rPh>
    <phoneticPr fontId="2"/>
  </si>
  <si>
    <t>下津陸田区画整理事業</t>
    <rPh sb="0" eb="2">
      <t>オリヅ</t>
    </rPh>
    <rPh sb="2" eb="4">
      <t>クガタ</t>
    </rPh>
    <rPh sb="4" eb="6">
      <t>クカク</t>
    </rPh>
    <rPh sb="6" eb="8">
      <t>セイリ</t>
    </rPh>
    <rPh sb="8" eb="10">
      <t>ジギョウ</t>
    </rPh>
    <phoneticPr fontId="2"/>
  </si>
  <si>
    <t>繰上充用額</t>
    <rPh sb="0" eb="2">
      <t>クリア</t>
    </rPh>
    <rPh sb="2" eb="4">
      <t>ジュウヨウ</t>
    </rPh>
    <rPh sb="4" eb="5">
      <t>ガク</t>
    </rPh>
    <phoneticPr fontId="2"/>
  </si>
  <si>
    <t>支払繰延額</t>
    <rPh sb="0" eb="2">
      <t>シハライ</t>
    </rPh>
    <rPh sb="2" eb="4">
      <t>クリノ</t>
    </rPh>
    <rPh sb="4" eb="5">
      <t>ガク</t>
    </rPh>
    <phoneticPr fontId="2"/>
  </si>
  <si>
    <t>※　宅地造成事業は、土地の評価に係る流動資産の算定等に関する特例あり</t>
    <rPh sb="2" eb="4">
      <t>タクチ</t>
    </rPh>
    <rPh sb="4" eb="6">
      <t>ゾウセイ</t>
    </rPh>
    <rPh sb="6" eb="8">
      <t>ジギョウ</t>
    </rPh>
    <rPh sb="10" eb="12">
      <t>トチ</t>
    </rPh>
    <rPh sb="13" eb="15">
      <t>ヒョウカ</t>
    </rPh>
    <rPh sb="16" eb="17">
      <t>カカ</t>
    </rPh>
    <rPh sb="18" eb="20">
      <t>リュウドウ</t>
    </rPh>
    <rPh sb="20" eb="22">
      <t>シサン</t>
    </rPh>
    <rPh sb="23" eb="25">
      <t>サンテイ</t>
    </rPh>
    <rPh sb="25" eb="26">
      <t>トウ</t>
    </rPh>
    <rPh sb="27" eb="28">
      <t>カン</t>
    </rPh>
    <rPh sb="30" eb="32">
      <t>トクレイ</t>
    </rPh>
    <phoneticPr fontId="2"/>
  </si>
  <si>
    <t>資金の剰余額</t>
    <rPh sb="0" eb="2">
      <t>シキン</t>
    </rPh>
    <rPh sb="3" eb="5">
      <t>ジョウヨ</t>
    </rPh>
    <rPh sb="5" eb="6">
      <t>ガク</t>
    </rPh>
    <phoneticPr fontId="2"/>
  </si>
  <si>
    <t>公債費に準ずる債務負担行為に係るもの</t>
    <rPh sb="0" eb="3">
      <t>コウサイヒ</t>
    </rPh>
    <rPh sb="4" eb="5">
      <t>ジュン</t>
    </rPh>
    <rPh sb="7" eb="9">
      <t>サイム</t>
    </rPh>
    <rPh sb="9" eb="11">
      <t>フタン</t>
    </rPh>
    <rPh sb="11" eb="13">
      <t>コウイ</t>
    </rPh>
    <rPh sb="14" eb="15">
      <t>カカ</t>
    </rPh>
    <phoneticPr fontId="2"/>
  </si>
  <si>
    <t>実質公債費比率（単年度）</t>
    <rPh sb="0" eb="2">
      <t>ジッシツ</t>
    </rPh>
    <rPh sb="2" eb="5">
      <t>コウサイヒ</t>
    </rPh>
    <rPh sb="5" eb="7">
      <t>ヒリツ</t>
    </rPh>
    <rPh sb="8" eb="11">
      <t>タンネンド</t>
    </rPh>
    <phoneticPr fontId="2"/>
  </si>
  <si>
    <t>実質公債費比率（３カ年平均）</t>
    <rPh sb="0" eb="2">
      <t>ジッシツ</t>
    </rPh>
    <rPh sb="2" eb="5">
      <t>コウサイヒ</t>
    </rPh>
    <rPh sb="5" eb="7">
      <t>ヒリツ</t>
    </rPh>
    <rPh sb="10" eb="11">
      <t>ネン</t>
    </rPh>
    <rPh sb="11" eb="13">
      <t>ヘイキン</t>
    </rPh>
    <phoneticPr fontId="2"/>
  </si>
  <si>
    <t>ＰＦＩ事業に係る債務負担行為に係るもの（省令第７条第１号）</t>
    <rPh sb="3" eb="5">
      <t>ジギョウ</t>
    </rPh>
    <rPh sb="6" eb="7">
      <t>カカ</t>
    </rPh>
    <rPh sb="8" eb="10">
      <t>サイム</t>
    </rPh>
    <rPh sb="10" eb="12">
      <t>フタン</t>
    </rPh>
    <rPh sb="12" eb="14">
      <t>コウイ</t>
    </rPh>
    <rPh sb="15" eb="16">
      <t>カカ</t>
    </rPh>
    <rPh sb="20" eb="22">
      <t>ショウレイ</t>
    </rPh>
    <rPh sb="22" eb="23">
      <t>ダイ</t>
    </rPh>
    <rPh sb="24" eb="25">
      <t>ジョウ</t>
    </rPh>
    <rPh sb="25" eb="26">
      <t>ダイ</t>
    </rPh>
    <rPh sb="27" eb="28">
      <t>ゴウ</t>
    </rPh>
    <phoneticPr fontId="2"/>
  </si>
  <si>
    <t>いわゆる五省協定等により、利便施設及び公共施設を買い取るために行った債務負担行為に係るもの（省令第７条第２号）</t>
    <rPh sb="4" eb="5">
      <t>5</t>
    </rPh>
    <rPh sb="5" eb="8">
      <t>ショウキョウテイ</t>
    </rPh>
    <rPh sb="8" eb="9">
      <t>ナド</t>
    </rPh>
    <rPh sb="13" eb="15">
      <t>リベン</t>
    </rPh>
    <rPh sb="15" eb="17">
      <t>シセツ</t>
    </rPh>
    <rPh sb="17" eb="18">
      <t>オヨ</t>
    </rPh>
    <rPh sb="19" eb="21">
      <t>コウキョウ</t>
    </rPh>
    <rPh sb="21" eb="23">
      <t>シセツ</t>
    </rPh>
    <rPh sb="24" eb="25">
      <t>カ</t>
    </rPh>
    <rPh sb="26" eb="27">
      <t>ト</t>
    </rPh>
    <rPh sb="31" eb="32">
      <t>オコナ</t>
    </rPh>
    <rPh sb="34" eb="36">
      <t>サイム</t>
    </rPh>
    <rPh sb="36" eb="38">
      <t>フタン</t>
    </rPh>
    <rPh sb="38" eb="40">
      <t>コウイ</t>
    </rPh>
    <rPh sb="41" eb="42">
      <t>カカ</t>
    </rPh>
    <rPh sb="46" eb="48">
      <t>ショウレイ</t>
    </rPh>
    <rPh sb="48" eb="49">
      <t>ダイ</t>
    </rPh>
    <rPh sb="50" eb="51">
      <t>ジョウ</t>
    </rPh>
    <rPh sb="51" eb="52">
      <t>ダイ</t>
    </rPh>
    <rPh sb="53" eb="54">
      <t>ゴウ</t>
    </rPh>
    <phoneticPr fontId="2"/>
  </si>
  <si>
    <t>国営土地改良事業並びに旧独立行政法人緑資源機構、独立行政法人水資源機構及び独立行政法人環境再生保全機構の行う事業に対する負担金（省令第７条第３号）</t>
    <rPh sb="0" eb="2">
      <t>コクエイ</t>
    </rPh>
    <rPh sb="2" eb="4">
      <t>トチ</t>
    </rPh>
    <rPh sb="4" eb="6">
      <t>カイリョウ</t>
    </rPh>
    <rPh sb="6" eb="8">
      <t>ジギョウ</t>
    </rPh>
    <rPh sb="8" eb="9">
      <t>ナラ</t>
    </rPh>
    <rPh sb="11" eb="12">
      <t>キュウ</t>
    </rPh>
    <rPh sb="12" eb="14">
      <t>ドクリツ</t>
    </rPh>
    <rPh sb="14" eb="16">
      <t>ギョウセイ</t>
    </rPh>
    <rPh sb="16" eb="18">
      <t>ホウジン</t>
    </rPh>
    <rPh sb="18" eb="19">
      <t>ミドリ</t>
    </rPh>
    <rPh sb="19" eb="21">
      <t>シゲン</t>
    </rPh>
    <rPh sb="21" eb="23">
      <t>キコウ</t>
    </rPh>
    <rPh sb="24" eb="26">
      <t>ドクリツ</t>
    </rPh>
    <rPh sb="26" eb="28">
      <t>ギョウセイ</t>
    </rPh>
    <rPh sb="28" eb="30">
      <t>ホウジン</t>
    </rPh>
    <rPh sb="30" eb="31">
      <t>ミズ</t>
    </rPh>
    <rPh sb="31" eb="33">
      <t>シゲン</t>
    </rPh>
    <rPh sb="33" eb="35">
      <t>キコウ</t>
    </rPh>
    <rPh sb="35" eb="36">
      <t>オヨ</t>
    </rPh>
    <rPh sb="37" eb="39">
      <t>ドクリツ</t>
    </rPh>
    <rPh sb="39" eb="41">
      <t>ギョウセイ</t>
    </rPh>
    <rPh sb="41" eb="43">
      <t>ホウジン</t>
    </rPh>
    <rPh sb="43" eb="45">
      <t>カンキョウ</t>
    </rPh>
    <rPh sb="45" eb="47">
      <t>サイセイ</t>
    </rPh>
    <rPh sb="47" eb="49">
      <t>ホゼン</t>
    </rPh>
    <rPh sb="49" eb="51">
      <t>キコウ</t>
    </rPh>
    <rPh sb="52" eb="53">
      <t>オコナ</t>
    </rPh>
    <rPh sb="54" eb="56">
      <t>ジギョウ</t>
    </rPh>
    <rPh sb="57" eb="58">
      <t>タイ</t>
    </rPh>
    <rPh sb="60" eb="63">
      <t>フタンキン</t>
    </rPh>
    <rPh sb="64" eb="66">
      <t>ショウレイ</t>
    </rPh>
    <rPh sb="66" eb="67">
      <t>ダイ</t>
    </rPh>
    <rPh sb="68" eb="69">
      <t>ジョウ</t>
    </rPh>
    <rPh sb="69" eb="70">
      <t>ダイ</t>
    </rPh>
    <rPh sb="71" eb="72">
      <t>ゴウ</t>
    </rPh>
    <phoneticPr fontId="2"/>
  </si>
  <si>
    <t>地方公務員等共済組合が建設した職員住宅等の無償譲渡を受けるために支払う賃借料（省令第７条第４号）</t>
    <rPh sb="0" eb="2">
      <t>チホウ</t>
    </rPh>
    <rPh sb="2" eb="5">
      <t>コウムイン</t>
    </rPh>
    <rPh sb="5" eb="6">
      <t>ナド</t>
    </rPh>
    <rPh sb="6" eb="8">
      <t>キョウサイ</t>
    </rPh>
    <rPh sb="8" eb="10">
      <t>クミアイ</t>
    </rPh>
    <rPh sb="11" eb="13">
      <t>ケンセツ</t>
    </rPh>
    <rPh sb="15" eb="17">
      <t>ショクイン</t>
    </rPh>
    <rPh sb="17" eb="19">
      <t>ジュウタク</t>
    </rPh>
    <rPh sb="19" eb="20">
      <t>ナド</t>
    </rPh>
    <rPh sb="21" eb="23">
      <t>ムショウ</t>
    </rPh>
    <rPh sb="23" eb="25">
      <t>ジョウト</t>
    </rPh>
    <rPh sb="26" eb="27">
      <t>ウ</t>
    </rPh>
    <rPh sb="32" eb="34">
      <t>シハラ</t>
    </rPh>
    <rPh sb="35" eb="38">
      <t>チンシャクリョウ</t>
    </rPh>
    <rPh sb="39" eb="41">
      <t>ショウレイ</t>
    </rPh>
    <rPh sb="41" eb="42">
      <t>ダイ</t>
    </rPh>
    <rPh sb="43" eb="44">
      <t>ジョウ</t>
    </rPh>
    <rPh sb="44" eb="45">
      <t>ダイ</t>
    </rPh>
    <rPh sb="46" eb="47">
      <t>ゴウ</t>
    </rPh>
    <phoneticPr fontId="2"/>
  </si>
  <si>
    <t>社会福祉法人が施設の建設のために借り入れた借入金の償還に対する補助（省令第７条第５号）</t>
    <rPh sb="28" eb="29">
      <t>タイ</t>
    </rPh>
    <rPh sb="34" eb="36">
      <t>ショウレイ</t>
    </rPh>
    <rPh sb="36" eb="37">
      <t>ダイ</t>
    </rPh>
    <rPh sb="38" eb="39">
      <t>ジョウ</t>
    </rPh>
    <rPh sb="39" eb="40">
      <t>ダイ</t>
    </rPh>
    <rPh sb="41" eb="42">
      <t>ゴウ</t>
    </rPh>
    <phoneticPr fontId="2"/>
  </si>
  <si>
    <t>準元利償還金</t>
    <rPh sb="0" eb="1">
      <t>ジュン</t>
    </rPh>
    <rPh sb="1" eb="3">
      <t>ガンリ</t>
    </rPh>
    <rPh sb="3" eb="6">
      <t>ショウカンキン</t>
    </rPh>
    <phoneticPr fontId="2"/>
  </si>
  <si>
    <t>基準需要額算入額</t>
    <rPh sb="0" eb="2">
      <t>キジュン</t>
    </rPh>
    <rPh sb="2" eb="4">
      <t>ジュヨウ</t>
    </rPh>
    <rPh sb="4" eb="5">
      <t>ガク</t>
    </rPh>
    <rPh sb="5" eb="7">
      <t>サンニュウ</t>
    </rPh>
    <rPh sb="7" eb="8">
      <t>ガク</t>
    </rPh>
    <phoneticPr fontId="2"/>
  </si>
  <si>
    <t>下記表の①の額</t>
    <rPh sb="0" eb="2">
      <t>カキ</t>
    </rPh>
    <rPh sb="2" eb="3">
      <t>オモテ</t>
    </rPh>
    <rPh sb="6" eb="7">
      <t>ガク</t>
    </rPh>
    <phoneticPr fontId="2"/>
  </si>
  <si>
    <t>標準財政規模</t>
    <rPh sb="0" eb="2">
      <t>ヒョウジュン</t>
    </rPh>
    <rPh sb="2" eb="4">
      <t>ザイセイ</t>
    </rPh>
    <rPh sb="4" eb="6">
      <t>キボ</t>
    </rPh>
    <phoneticPr fontId="2"/>
  </si>
  <si>
    <t>実質公債費比率(単年度)＝</t>
    <rPh sb="0" eb="2">
      <t>ジッシツ</t>
    </rPh>
    <rPh sb="2" eb="5">
      <t>コウサイヒ</t>
    </rPh>
    <rPh sb="5" eb="7">
      <t>ヒリツ</t>
    </rPh>
    <rPh sb="8" eb="11">
      <t>タンネンド</t>
    </rPh>
    <phoneticPr fontId="2"/>
  </si>
  <si>
    <t>実質公債費比率(３カ年平均)＝</t>
    <rPh sb="0" eb="2">
      <t>ジッシツ</t>
    </rPh>
    <rPh sb="2" eb="5">
      <t>コウサイヒ</t>
    </rPh>
    <rPh sb="5" eb="7">
      <t>ヒリツ</t>
    </rPh>
    <rPh sb="10" eb="11">
      <t>ネン</t>
    </rPh>
    <rPh sb="11" eb="13">
      <t>ヘイキン</t>
    </rPh>
    <phoneticPr fontId="2"/>
  </si>
  <si>
    <t>実質公債費比率(単年度)の３カ年の合計</t>
    <rPh sb="0" eb="2">
      <t>ジッシツ</t>
    </rPh>
    <rPh sb="2" eb="5">
      <t>コウサイヒ</t>
    </rPh>
    <rPh sb="5" eb="7">
      <t>ヒリツ</t>
    </rPh>
    <rPh sb="8" eb="11">
      <t>タンネンド</t>
    </rPh>
    <rPh sb="15" eb="16">
      <t>ネン</t>
    </rPh>
    <rPh sb="17" eb="19">
      <t>ゴウケイ</t>
    </rPh>
    <phoneticPr fontId="2"/>
  </si>
  <si>
    <t>(小数点第２位を切捨)</t>
    <rPh sb="1" eb="4">
      <t>ショウスウテン</t>
    </rPh>
    <rPh sb="4" eb="5">
      <t>ダイ</t>
    </rPh>
    <rPh sb="6" eb="7">
      <t>イ</t>
    </rPh>
    <rPh sb="8" eb="9">
      <t>キ</t>
    </rPh>
    <rPh sb="9" eb="10">
      <t>ス</t>
    </rPh>
    <phoneticPr fontId="2"/>
  </si>
  <si>
    <t>実質公債費比率</t>
    <rPh sb="0" eb="2">
      <t>ジッシツ</t>
    </rPh>
    <rPh sb="2" eb="5">
      <t>コウサイヒ</t>
    </rPh>
    <rPh sb="5" eb="7">
      <t>ヒリツ</t>
    </rPh>
    <phoneticPr fontId="2"/>
  </si>
  <si>
    <t>計</t>
    <rPh sb="0" eb="1">
      <t>ケイ</t>
    </rPh>
    <phoneticPr fontId="2"/>
  </si>
  <si>
    <t>都市計画事業費</t>
    <rPh sb="0" eb="2">
      <t>トシ</t>
    </rPh>
    <rPh sb="2" eb="4">
      <t>ケイカク</t>
    </rPh>
    <rPh sb="4" eb="7">
      <t>ジギョウヒ</t>
    </rPh>
    <phoneticPr fontId="2"/>
  </si>
  <si>
    <t>公営企業会計における都計事業に対する繰出</t>
    <rPh sb="0" eb="2">
      <t>コウエイ</t>
    </rPh>
    <rPh sb="2" eb="4">
      <t>キギョウ</t>
    </rPh>
    <rPh sb="4" eb="6">
      <t>カイケイ</t>
    </rPh>
    <rPh sb="10" eb="11">
      <t>ミヤコ</t>
    </rPh>
    <rPh sb="11" eb="12">
      <t>ケイ</t>
    </rPh>
    <rPh sb="12" eb="14">
      <t>ジギョウ</t>
    </rPh>
    <rPh sb="15" eb="16">
      <t>タイ</t>
    </rPh>
    <rPh sb="18" eb="20">
      <t>クリダシ</t>
    </rPh>
    <phoneticPr fontId="2"/>
  </si>
  <si>
    <t>都市計画事業関連地方債償還額</t>
    <rPh sb="0" eb="2">
      <t>トシ</t>
    </rPh>
    <rPh sb="2" eb="4">
      <t>ケイカク</t>
    </rPh>
    <rPh sb="4" eb="6">
      <t>ジギョウ</t>
    </rPh>
    <rPh sb="6" eb="8">
      <t>カンレン</t>
    </rPh>
    <rPh sb="8" eb="11">
      <t>チホウサイ</t>
    </rPh>
    <rPh sb="11" eb="13">
      <t>ショウカン</t>
    </rPh>
    <rPh sb="13" eb="14">
      <t>ガク</t>
    </rPh>
    <phoneticPr fontId="2"/>
  </si>
  <si>
    <t>満期一括償還
地方債の元金に
係る分</t>
    <phoneticPr fontId="2"/>
  </si>
  <si>
    <t>当該年度都市
計画事業費に
対する特定財源</t>
    <rPh sb="0" eb="2">
      <t>トウガイ</t>
    </rPh>
    <rPh sb="2" eb="4">
      <t>ネンド</t>
    </rPh>
    <rPh sb="4" eb="6">
      <t>トシ</t>
    </rPh>
    <rPh sb="7" eb="9">
      <t>ケイカク</t>
    </rPh>
    <rPh sb="9" eb="12">
      <t>ジギョウヒ</t>
    </rPh>
    <rPh sb="14" eb="15">
      <t>タイ</t>
    </rPh>
    <rPh sb="17" eb="19">
      <t>トクテイ</t>
    </rPh>
    <rPh sb="19" eb="21">
      <t>ザイゲン</t>
    </rPh>
    <phoneticPr fontId="2"/>
  </si>
  <si>
    <t>公債費等に対する特定財源</t>
    <rPh sb="0" eb="4">
      <t>コウサイヒトウ</t>
    </rPh>
    <rPh sb="5" eb="6">
      <t>タイ</t>
    </rPh>
    <rPh sb="8" eb="10">
      <t>トクテイ</t>
    </rPh>
    <rPh sb="10" eb="12">
      <t>ザイゲン</t>
    </rPh>
    <phoneticPr fontId="2"/>
  </si>
  <si>
    <t>都市計画税収入</t>
    <rPh sb="0" eb="2">
      <t>トシ</t>
    </rPh>
    <rPh sb="2" eb="4">
      <t>ケイカク</t>
    </rPh>
    <rPh sb="4" eb="5">
      <t>ゼイ</t>
    </rPh>
    <rPh sb="5" eb="7">
      <t>シュウニュウ</t>
    </rPh>
    <phoneticPr fontId="2"/>
  </si>
  <si>
    <t>その他一般財源</t>
    <rPh sb="2" eb="3">
      <t>タ</t>
    </rPh>
    <rPh sb="3" eb="5">
      <t>イッパン</t>
    </rPh>
    <rPh sb="5" eb="7">
      <t>ザイゲン</t>
    </rPh>
    <phoneticPr fontId="2"/>
  </si>
  <si>
    <t>都市計画税
充当可能額</t>
    <rPh sb="0" eb="2">
      <t>トシ</t>
    </rPh>
    <rPh sb="2" eb="4">
      <t>ケイカク</t>
    </rPh>
    <rPh sb="4" eb="5">
      <t>ゼイ</t>
    </rPh>
    <rPh sb="6" eb="8">
      <t>ジュウトウ</t>
    </rPh>
    <rPh sb="8" eb="10">
      <t>カノウ</t>
    </rPh>
    <rPh sb="10" eb="11">
      <t>ガク</t>
    </rPh>
    <phoneticPr fontId="2"/>
  </si>
  <si>
    <t>将来負担比率</t>
    <rPh sb="0" eb="2">
      <t>ショウライ</t>
    </rPh>
    <rPh sb="2" eb="4">
      <t>フタン</t>
    </rPh>
    <rPh sb="4" eb="6">
      <t>ヒリツ</t>
    </rPh>
    <phoneticPr fontId="2"/>
  </si>
  <si>
    <t>一般会計等が将来負担すべき実質的な負債の標準財政規模に対する比率</t>
    <rPh sb="0" eb="2">
      <t>イッパン</t>
    </rPh>
    <rPh sb="2" eb="5">
      <t>カイケイトウ</t>
    </rPh>
    <rPh sb="6" eb="8">
      <t>ショウライ</t>
    </rPh>
    <rPh sb="8" eb="10">
      <t>フタン</t>
    </rPh>
    <rPh sb="13" eb="16">
      <t>ジッシツテキ</t>
    </rPh>
    <rPh sb="17" eb="19">
      <t>フサイ</t>
    </rPh>
    <rPh sb="20" eb="22">
      <t>ヒョウジュン</t>
    </rPh>
    <rPh sb="22" eb="24">
      <t>ザイセイ</t>
    </rPh>
    <rPh sb="24" eb="26">
      <t>キボ</t>
    </rPh>
    <rPh sb="27" eb="28">
      <t>タイ</t>
    </rPh>
    <rPh sb="30" eb="32">
      <t>ヒリツ</t>
    </rPh>
    <phoneticPr fontId="2"/>
  </si>
  <si>
    <t>将来負担比率＝</t>
    <rPh sb="0" eb="2">
      <t>ショウライ</t>
    </rPh>
    <rPh sb="2" eb="4">
      <t>フタン</t>
    </rPh>
    <rPh sb="4" eb="6">
      <t>ヒリツ</t>
    </rPh>
    <phoneticPr fontId="2"/>
  </si>
  <si>
    <t>将来負担額－（充当可能基金額＋特定財源見込額＋地方債現在高等に係る基準財政需要額算入見込額）</t>
    <rPh sb="0" eb="2">
      <t>ショウライ</t>
    </rPh>
    <rPh sb="2" eb="4">
      <t>フタン</t>
    </rPh>
    <rPh sb="4" eb="5">
      <t>ガク</t>
    </rPh>
    <rPh sb="7" eb="9">
      <t>ジュウトウ</t>
    </rPh>
    <rPh sb="9" eb="11">
      <t>カノウ</t>
    </rPh>
    <rPh sb="11" eb="13">
      <t>キキン</t>
    </rPh>
    <rPh sb="13" eb="14">
      <t>ガク</t>
    </rPh>
    <rPh sb="15" eb="17">
      <t>トクテイ</t>
    </rPh>
    <rPh sb="17" eb="19">
      <t>ザイゲン</t>
    </rPh>
    <rPh sb="19" eb="21">
      <t>ミコミ</t>
    </rPh>
    <rPh sb="21" eb="22">
      <t>ガク</t>
    </rPh>
    <rPh sb="23" eb="26">
      <t>チホウサイ</t>
    </rPh>
    <rPh sb="26" eb="29">
      <t>ゲンザイダカ</t>
    </rPh>
    <rPh sb="29" eb="30">
      <t>トウ</t>
    </rPh>
    <rPh sb="31" eb="32">
      <t>カカ</t>
    </rPh>
    <rPh sb="33" eb="35">
      <t>キジュン</t>
    </rPh>
    <rPh sb="35" eb="37">
      <t>ザイセイ</t>
    </rPh>
    <rPh sb="37" eb="39">
      <t>ジュヨウ</t>
    </rPh>
    <rPh sb="39" eb="40">
      <t>ガク</t>
    </rPh>
    <rPh sb="40" eb="42">
      <t>サンニュウ</t>
    </rPh>
    <rPh sb="42" eb="44">
      <t>ミコミ</t>
    </rPh>
    <rPh sb="44" eb="45">
      <t>ガク</t>
    </rPh>
    <phoneticPr fontId="2"/>
  </si>
  <si>
    <t>将来負担額</t>
    <rPh sb="0" eb="2">
      <t>ショウライ</t>
    </rPh>
    <rPh sb="2" eb="4">
      <t>フタン</t>
    </rPh>
    <rPh sb="4" eb="5">
      <t>ガク</t>
    </rPh>
    <phoneticPr fontId="2"/>
  </si>
  <si>
    <t>充当可能
基金額</t>
    <rPh sb="0" eb="2">
      <t>ジュウトウ</t>
    </rPh>
    <rPh sb="2" eb="4">
      <t>カノウ</t>
    </rPh>
    <rPh sb="5" eb="7">
      <t>キキン</t>
    </rPh>
    <rPh sb="7" eb="8">
      <t>ガク</t>
    </rPh>
    <phoneticPr fontId="2"/>
  </si>
  <si>
    <t>特定財源
見込額</t>
    <rPh sb="0" eb="2">
      <t>トクテイ</t>
    </rPh>
    <rPh sb="2" eb="4">
      <t>ザイゲン</t>
    </rPh>
    <rPh sb="5" eb="7">
      <t>ミコミ</t>
    </rPh>
    <rPh sb="7" eb="8">
      <t>ガク</t>
    </rPh>
    <phoneticPr fontId="2"/>
  </si>
  <si>
    <t>１　将来負担額</t>
    <rPh sb="2" eb="4">
      <t>ショウライ</t>
    </rPh>
    <rPh sb="4" eb="6">
      <t>フタン</t>
    </rPh>
    <rPh sb="6" eb="7">
      <t>ガク</t>
    </rPh>
    <phoneticPr fontId="2"/>
  </si>
  <si>
    <t>地方債の現在高</t>
    <rPh sb="0" eb="3">
      <t>チホウサイ</t>
    </rPh>
    <rPh sb="4" eb="7">
      <t>ゲンザイダカ</t>
    </rPh>
    <phoneticPr fontId="2"/>
  </si>
  <si>
    <t>公営企業債等
繰入見込額</t>
    <rPh sb="0" eb="2">
      <t>コウエイ</t>
    </rPh>
    <rPh sb="2" eb="4">
      <t>キギョウ</t>
    </rPh>
    <rPh sb="4" eb="5">
      <t>サイ</t>
    </rPh>
    <rPh sb="5" eb="6">
      <t>トウ</t>
    </rPh>
    <rPh sb="7" eb="9">
      <t>クリイレ</t>
    </rPh>
    <rPh sb="9" eb="11">
      <t>ミコミ</t>
    </rPh>
    <rPh sb="11" eb="12">
      <t>ガク</t>
    </rPh>
    <phoneticPr fontId="2"/>
  </si>
  <si>
    <t>組合等
負担等見込額</t>
    <rPh sb="0" eb="3">
      <t>クミアイトウ</t>
    </rPh>
    <rPh sb="4" eb="7">
      <t>フタントウ</t>
    </rPh>
    <rPh sb="7" eb="9">
      <t>ミコ</t>
    </rPh>
    <rPh sb="9" eb="10">
      <t>ガク</t>
    </rPh>
    <phoneticPr fontId="2"/>
  </si>
  <si>
    <t>退職手当
負担見込額</t>
    <rPh sb="0" eb="2">
      <t>タイショク</t>
    </rPh>
    <rPh sb="2" eb="4">
      <t>テアテ</t>
    </rPh>
    <rPh sb="5" eb="7">
      <t>フタン</t>
    </rPh>
    <rPh sb="7" eb="9">
      <t>ミコミ</t>
    </rPh>
    <rPh sb="9" eb="10">
      <t>ガク</t>
    </rPh>
    <phoneticPr fontId="2"/>
  </si>
  <si>
    <t>組合等連結実質
赤字額負担見込額</t>
    <rPh sb="0" eb="3">
      <t>クミアイトウ</t>
    </rPh>
    <rPh sb="3" eb="5">
      <t>レンケツ</t>
    </rPh>
    <rPh sb="5" eb="7">
      <t>ジッシツ</t>
    </rPh>
    <rPh sb="8" eb="11">
      <t>アカジガク</t>
    </rPh>
    <rPh sb="11" eb="13">
      <t>フタン</t>
    </rPh>
    <rPh sb="13" eb="15">
      <t>ミコミ</t>
    </rPh>
    <rPh sb="15" eb="16">
      <t>ガク</t>
    </rPh>
    <phoneticPr fontId="2"/>
  </si>
  <si>
    <t>(地方債の元利償還金＋準元利償還金)－
　　　(特定財源＋元利償還金・準元利償還金に係る基準財政需要額算入額)</t>
    <rPh sb="1" eb="4">
      <t>チホウサイ</t>
    </rPh>
    <rPh sb="5" eb="7">
      <t>ガンリ</t>
    </rPh>
    <rPh sb="7" eb="10">
      <t>ショウカンキン</t>
    </rPh>
    <rPh sb="11" eb="12">
      <t>ジュン</t>
    </rPh>
    <rPh sb="12" eb="14">
      <t>ガンリ</t>
    </rPh>
    <rPh sb="14" eb="17">
      <t>ショウカンキン</t>
    </rPh>
    <rPh sb="24" eb="26">
      <t>トクテイ</t>
    </rPh>
    <rPh sb="26" eb="28">
      <t>ザイゲン</t>
    </rPh>
    <rPh sb="29" eb="31">
      <t>ガンリ</t>
    </rPh>
    <rPh sb="31" eb="34">
      <t>ショウカンキン</t>
    </rPh>
    <rPh sb="35" eb="36">
      <t>ジュン</t>
    </rPh>
    <rPh sb="36" eb="38">
      <t>ガンリ</t>
    </rPh>
    <rPh sb="38" eb="41">
      <t>ショウカンキン</t>
    </rPh>
    <rPh sb="42" eb="43">
      <t>カカ</t>
    </rPh>
    <rPh sb="44" eb="46">
      <t>キジュン</t>
    </rPh>
    <rPh sb="46" eb="48">
      <t>ザイセイ</t>
    </rPh>
    <rPh sb="48" eb="50">
      <t>ジュヨウ</t>
    </rPh>
    <rPh sb="50" eb="51">
      <t>ガク</t>
    </rPh>
    <rPh sb="51" eb="53">
      <t>サンニュウ</t>
    </rPh>
    <rPh sb="53" eb="54">
      <t>ガク</t>
    </rPh>
    <phoneticPr fontId="2"/>
  </si>
  <si>
    <t>資金不足比率</t>
    <rPh sb="0" eb="2">
      <t>シキン</t>
    </rPh>
    <rPh sb="2" eb="4">
      <t>フソク</t>
    </rPh>
    <rPh sb="4" eb="6">
      <t>ヒリツ</t>
    </rPh>
    <phoneticPr fontId="2"/>
  </si>
  <si>
    <t>資金不足比率</t>
    <rPh sb="0" eb="2">
      <t>シキン</t>
    </rPh>
    <rPh sb="2" eb="4">
      <t>ブソク</t>
    </rPh>
    <rPh sb="4" eb="6">
      <t>ヒリツ</t>
    </rPh>
    <phoneticPr fontId="2"/>
  </si>
  <si>
    <t>事業の規模</t>
    <rPh sb="0" eb="2">
      <t>ジギョウ</t>
    </rPh>
    <rPh sb="3" eb="5">
      <t>キボ</t>
    </rPh>
    <phoneticPr fontId="2"/>
  </si>
  <si>
    <t>早期健全化基準</t>
    <rPh sb="0" eb="2">
      <t>ソウキ</t>
    </rPh>
    <rPh sb="2" eb="5">
      <t>ケンゼンカ</t>
    </rPh>
    <rPh sb="5" eb="7">
      <t>キジュン</t>
    </rPh>
    <phoneticPr fontId="2"/>
  </si>
  <si>
    <t>財政再生基準</t>
    <rPh sb="0" eb="2">
      <t>ザイセイ</t>
    </rPh>
    <rPh sb="2" eb="4">
      <t>サイセイ</t>
    </rPh>
    <rPh sb="4" eb="6">
      <t>キジュン</t>
    </rPh>
    <phoneticPr fontId="2"/>
  </si>
  <si>
    <t>経営健全化基準</t>
    <rPh sb="0" eb="2">
      <t>ケイエイ</t>
    </rPh>
    <rPh sb="2" eb="5">
      <t>ケンゼンカ</t>
    </rPh>
    <rPh sb="5" eb="7">
      <t>キジュン</t>
    </rPh>
    <phoneticPr fontId="2"/>
  </si>
  <si>
    <t>　　　＜根拠法＞</t>
    <rPh sb="4" eb="7">
      <t>コンキョホウ</t>
    </rPh>
    <phoneticPr fontId="2"/>
  </si>
  <si>
    <t>準元利償還金</t>
    <rPh sb="0" eb="1">
      <t>ジュン</t>
    </rPh>
    <rPh sb="1" eb="3">
      <t>ガンリ</t>
    </rPh>
    <rPh sb="3" eb="6">
      <t>ショウカンキン</t>
    </rPh>
    <phoneticPr fontId="2"/>
  </si>
  <si>
    <t>(4)　早期健全化基準</t>
    <rPh sb="4" eb="6">
      <t>ソウキ</t>
    </rPh>
    <rPh sb="6" eb="9">
      <t>ケンゼンカ</t>
    </rPh>
    <rPh sb="9" eb="11">
      <t>キジュン</t>
    </rPh>
    <phoneticPr fontId="2"/>
  </si>
  <si>
    <t>法第２条第５項及び令第７条</t>
    <rPh sb="0" eb="1">
      <t>ホウ</t>
    </rPh>
    <rPh sb="1" eb="2">
      <t>ダイ</t>
    </rPh>
    <rPh sb="3" eb="4">
      <t>ジョウ</t>
    </rPh>
    <rPh sb="4" eb="5">
      <t>ダイ</t>
    </rPh>
    <rPh sb="6" eb="7">
      <t>コウ</t>
    </rPh>
    <rPh sb="7" eb="8">
      <t>オヨ</t>
    </rPh>
    <rPh sb="9" eb="10">
      <t>レイ</t>
    </rPh>
    <rPh sb="10" eb="11">
      <t>ダイ</t>
    </rPh>
    <rPh sb="12" eb="13">
      <t>ジョウ</t>
    </rPh>
    <phoneticPr fontId="2"/>
  </si>
  <si>
    <t>標準財政規模＋1,000億円</t>
    <rPh sb="0" eb="2">
      <t>ヒョウジュン</t>
    </rPh>
    <rPh sb="2" eb="4">
      <t>ザイセイ</t>
    </rPh>
    <rPh sb="4" eb="6">
      <t>キボ</t>
    </rPh>
    <rPh sb="12" eb="14">
      <t>オクエン</t>
    </rPh>
    <phoneticPr fontId="2"/>
  </si>
  <si>
    <t>(5)　財政再生基準</t>
    <rPh sb="4" eb="6">
      <t>ザイセイ</t>
    </rPh>
    <rPh sb="6" eb="8">
      <t>サイセイ</t>
    </rPh>
    <rPh sb="8" eb="10">
      <t>キジュン</t>
    </rPh>
    <phoneticPr fontId="2"/>
  </si>
  <si>
    <t>法第２条第６項及び令第８条（市町村及び特別区は1/5）＝</t>
    <rPh sb="0" eb="1">
      <t>ホウ</t>
    </rPh>
    <rPh sb="1" eb="2">
      <t>ダイ</t>
    </rPh>
    <rPh sb="3" eb="4">
      <t>ジョウ</t>
    </rPh>
    <rPh sb="4" eb="5">
      <t>ダイ</t>
    </rPh>
    <rPh sb="6" eb="7">
      <t>コウ</t>
    </rPh>
    <rPh sb="7" eb="8">
      <t>オヨ</t>
    </rPh>
    <rPh sb="9" eb="10">
      <t>レイ</t>
    </rPh>
    <rPh sb="10" eb="11">
      <t>ダイ</t>
    </rPh>
    <rPh sb="12" eb="13">
      <t>ジョウ</t>
    </rPh>
    <rPh sb="14" eb="17">
      <t>シチョウソン</t>
    </rPh>
    <rPh sb="17" eb="18">
      <t>オヨ</t>
    </rPh>
    <rPh sb="19" eb="22">
      <t>トクベツク</t>
    </rPh>
    <phoneticPr fontId="2"/>
  </si>
  <si>
    <t>実質赤字比率の早期健全化基準の数値に1/20を加えた数値＝</t>
    <rPh sb="0" eb="2">
      <t>ジッシツ</t>
    </rPh>
    <rPh sb="2" eb="4">
      <t>アカジ</t>
    </rPh>
    <rPh sb="4" eb="6">
      <t>ヒリツ</t>
    </rPh>
    <rPh sb="7" eb="9">
      <t>ソウキ</t>
    </rPh>
    <rPh sb="9" eb="12">
      <t>ケンゼンカ</t>
    </rPh>
    <rPh sb="12" eb="14">
      <t>キジュン</t>
    </rPh>
    <rPh sb="15" eb="17">
      <t>スウチ</t>
    </rPh>
    <rPh sb="23" eb="24">
      <t>クワ</t>
    </rPh>
    <rPh sb="26" eb="28">
      <t>スウチ</t>
    </rPh>
    <phoneticPr fontId="2"/>
  </si>
  <si>
    <t>水道事業</t>
    <rPh sb="0" eb="2">
      <t>スイドウ</t>
    </rPh>
    <rPh sb="2" eb="4">
      <t>ジギョウ</t>
    </rPh>
    <phoneticPr fontId="2"/>
  </si>
  <si>
    <t>病院事業</t>
    <rPh sb="0" eb="2">
      <t>ビョウイン</t>
    </rPh>
    <rPh sb="2" eb="4">
      <t>ジギョウ</t>
    </rPh>
    <phoneticPr fontId="2"/>
  </si>
  <si>
    <t>公共下水道事業</t>
    <rPh sb="0" eb="2">
      <t>コウキョウ</t>
    </rPh>
    <rPh sb="2" eb="5">
      <t>ゲスイドウ</t>
    </rPh>
    <rPh sb="5" eb="7">
      <t>ジギョウ</t>
    </rPh>
    <phoneticPr fontId="2"/>
  </si>
  <si>
    <t>農集事業</t>
    <rPh sb="0" eb="1">
      <t>ノウ</t>
    </rPh>
    <rPh sb="1" eb="2">
      <t>シュウ</t>
    </rPh>
    <rPh sb="2" eb="4">
      <t>ジギョウ</t>
    </rPh>
    <phoneticPr fontId="2"/>
  </si>
  <si>
    <t>合計</t>
    <rPh sb="0" eb="2">
      <t>ゴウケイ</t>
    </rPh>
    <phoneticPr fontId="2"/>
  </si>
  <si>
    <t>特別会計名</t>
    <rPh sb="0" eb="2">
      <t>トクベツ</t>
    </rPh>
    <rPh sb="2" eb="4">
      <t>カイケイ</t>
    </rPh>
    <rPh sb="4" eb="5">
      <t>ナ</t>
    </rPh>
    <phoneticPr fontId="2"/>
  </si>
  <si>
    <t>ＰＦＩ事業に係るもの</t>
    <rPh sb="3" eb="5">
      <t>ジギョウ</t>
    </rPh>
    <rPh sb="6" eb="7">
      <t>カカ</t>
    </rPh>
    <phoneticPr fontId="2"/>
  </si>
  <si>
    <t>いわゆる五省協定等に係るもの</t>
    <rPh sb="4" eb="5">
      <t>ゴ</t>
    </rPh>
    <rPh sb="5" eb="6">
      <t>ショウ</t>
    </rPh>
    <rPh sb="6" eb="8">
      <t>キョウテイ</t>
    </rPh>
    <rPh sb="8" eb="9">
      <t>トウ</t>
    </rPh>
    <rPh sb="10" eb="11">
      <t>カカ</t>
    </rPh>
    <phoneticPr fontId="2"/>
  </si>
  <si>
    <t>国営土地改良事業に係るもの</t>
    <rPh sb="0" eb="2">
      <t>コクエイ</t>
    </rPh>
    <rPh sb="2" eb="4">
      <t>トチ</t>
    </rPh>
    <rPh sb="4" eb="6">
      <t>カイリョウ</t>
    </rPh>
    <rPh sb="6" eb="8">
      <t>ジギョウ</t>
    </rPh>
    <rPh sb="9" eb="10">
      <t>カカ</t>
    </rPh>
    <phoneticPr fontId="2"/>
  </si>
  <si>
    <t>緑資源機構等が行う事業に係るもの</t>
    <rPh sb="0" eb="1">
      <t>ミドリ</t>
    </rPh>
    <rPh sb="1" eb="3">
      <t>シゲン</t>
    </rPh>
    <rPh sb="3" eb="6">
      <t>キコウトウ</t>
    </rPh>
    <rPh sb="7" eb="8">
      <t>オコナ</t>
    </rPh>
    <rPh sb="9" eb="11">
      <t>ジギョウ</t>
    </rPh>
    <rPh sb="12" eb="13">
      <t>カカ</t>
    </rPh>
    <phoneticPr fontId="2"/>
  </si>
  <si>
    <t>地方公務員等共済組合に係るもの</t>
    <rPh sb="0" eb="2">
      <t>チホウ</t>
    </rPh>
    <rPh sb="2" eb="5">
      <t>コウムイン</t>
    </rPh>
    <rPh sb="5" eb="6">
      <t>トウ</t>
    </rPh>
    <rPh sb="6" eb="8">
      <t>キョウサイ</t>
    </rPh>
    <rPh sb="8" eb="10">
      <t>クミアイ</t>
    </rPh>
    <rPh sb="11" eb="12">
      <t>カカ</t>
    </rPh>
    <phoneticPr fontId="2"/>
  </si>
  <si>
    <t>依頼土地の買い戻しに係るもの</t>
    <rPh sb="0" eb="2">
      <t>イライ</t>
    </rPh>
    <rPh sb="2" eb="4">
      <t>トチ</t>
    </rPh>
    <rPh sb="5" eb="6">
      <t>カ</t>
    </rPh>
    <rPh sb="7" eb="8">
      <t>モド</t>
    </rPh>
    <rPh sb="10" eb="11">
      <t>カカ</t>
    </rPh>
    <phoneticPr fontId="2"/>
  </si>
  <si>
    <t>限度額</t>
    <rPh sb="0" eb="2">
      <t>ゲンド</t>
    </rPh>
    <rPh sb="2" eb="3">
      <t>ガク</t>
    </rPh>
    <phoneticPr fontId="2"/>
  </si>
  <si>
    <t>支出予定額</t>
    <rPh sb="0" eb="2">
      <t>シシュツ</t>
    </rPh>
    <rPh sb="2" eb="4">
      <t>ヨテイ</t>
    </rPh>
    <rPh sb="4" eb="5">
      <t>ガク</t>
    </rPh>
    <phoneticPr fontId="2"/>
  </si>
  <si>
    <t>事　　　　　　　項　　　　　　　等</t>
    <rPh sb="0" eb="1">
      <t>コト</t>
    </rPh>
    <rPh sb="8" eb="9">
      <t>コウ</t>
    </rPh>
    <rPh sb="16" eb="17">
      <t>トウ</t>
    </rPh>
    <phoneticPr fontId="2"/>
  </si>
  <si>
    <t>区　　　　　　　分</t>
    <rPh sb="0" eb="1">
      <t>ク</t>
    </rPh>
    <rPh sb="8" eb="9">
      <t>ブン</t>
    </rPh>
    <phoneticPr fontId="2"/>
  </si>
  <si>
    <t>公営企業会計ごとの資金の不足額の事業の規模に対する比率</t>
    <rPh sb="0" eb="2">
      <t>コウエイ</t>
    </rPh>
    <rPh sb="2" eb="4">
      <t>キギョウ</t>
    </rPh>
    <rPh sb="4" eb="6">
      <t>カイケイ</t>
    </rPh>
    <rPh sb="9" eb="11">
      <t>シキン</t>
    </rPh>
    <rPh sb="12" eb="14">
      <t>フソク</t>
    </rPh>
    <rPh sb="14" eb="15">
      <t>ガク</t>
    </rPh>
    <rPh sb="16" eb="18">
      <t>ジギョウ</t>
    </rPh>
    <rPh sb="19" eb="21">
      <t>キボ</t>
    </rPh>
    <rPh sb="22" eb="23">
      <t>タイ</t>
    </rPh>
    <rPh sb="25" eb="27">
      <t>ヒリツ</t>
    </rPh>
    <phoneticPr fontId="2"/>
  </si>
  <si>
    <t>資金不足比率＝</t>
    <rPh sb="0" eb="2">
      <t>シキン</t>
    </rPh>
    <rPh sb="2" eb="4">
      <t>ブソク</t>
    </rPh>
    <rPh sb="4" eb="6">
      <t>ヒリツ</t>
    </rPh>
    <phoneticPr fontId="2"/>
  </si>
  <si>
    <t>②　連結実質赤字比率</t>
    <rPh sb="2" eb="4">
      <t>レンケツ</t>
    </rPh>
    <rPh sb="4" eb="6">
      <t>ジッシツ</t>
    </rPh>
    <rPh sb="6" eb="8">
      <t>アカジ</t>
    </rPh>
    <rPh sb="8" eb="10">
      <t>ヒリツ</t>
    </rPh>
    <phoneticPr fontId="2"/>
  </si>
  <si>
    <t>③　実質公債費比率</t>
    <rPh sb="2" eb="4">
      <t>ジッシツ</t>
    </rPh>
    <rPh sb="4" eb="7">
      <t>コウサイヒ</t>
    </rPh>
    <rPh sb="7" eb="9">
      <t>ヒリツ</t>
    </rPh>
    <phoneticPr fontId="2"/>
  </si>
  <si>
    <t>④　将来負担比率</t>
    <rPh sb="2" eb="4">
      <t>ショウライ</t>
    </rPh>
    <rPh sb="4" eb="6">
      <t>フタン</t>
    </rPh>
    <rPh sb="6" eb="8">
      <t>ヒリツ</t>
    </rPh>
    <phoneticPr fontId="2"/>
  </si>
  <si>
    <t>２　資金不足比率</t>
    <rPh sb="2" eb="4">
      <t>シキン</t>
    </rPh>
    <rPh sb="4" eb="6">
      <t>フソク</t>
    </rPh>
    <rPh sb="6" eb="8">
      <t>ヒリツ</t>
    </rPh>
    <phoneticPr fontId="2"/>
  </si>
  <si>
    <t>１　健全化判断比率</t>
    <rPh sb="2" eb="5">
      <t>ケンゼンカ</t>
    </rPh>
    <rPh sb="5" eb="7">
      <t>ハンダン</t>
    </rPh>
    <rPh sb="7" eb="9">
      <t>ヒリツ</t>
    </rPh>
    <phoneticPr fontId="2"/>
  </si>
  <si>
    <t>(3)　資金の不足額（資金の剰余額）</t>
    <rPh sb="4" eb="6">
      <t>シキン</t>
    </rPh>
    <rPh sb="7" eb="9">
      <t>フソク</t>
    </rPh>
    <rPh sb="9" eb="10">
      <t>ガク</t>
    </rPh>
    <rPh sb="11" eb="13">
      <t>シキン</t>
    </rPh>
    <rPh sb="14" eb="16">
      <t>ジョウヨ</t>
    </rPh>
    <rPh sb="16" eb="17">
      <t>ガク</t>
    </rPh>
    <phoneticPr fontId="2"/>
  </si>
  <si>
    <t>早期健全化
基準</t>
    <rPh sb="0" eb="2">
      <t>ソウキ</t>
    </rPh>
    <rPh sb="2" eb="5">
      <t>ケンゼンカ</t>
    </rPh>
    <rPh sb="6" eb="8">
      <t>キジュン</t>
    </rPh>
    <phoneticPr fontId="2"/>
  </si>
  <si>
    <t>元利償還金</t>
    <rPh sb="0" eb="2">
      <t>ガンリ</t>
    </rPh>
    <rPh sb="2" eb="5">
      <t>ショウカンキン</t>
    </rPh>
    <phoneticPr fontId="2"/>
  </si>
  <si>
    <t>繰入割合</t>
    <rPh sb="0" eb="1">
      <t>ク</t>
    </rPh>
    <rPh sb="1" eb="2">
      <t>イ</t>
    </rPh>
    <rPh sb="2" eb="4">
      <t>ワリアイ</t>
    </rPh>
    <phoneticPr fontId="2"/>
  </si>
  <si>
    <t>元金償還金</t>
    <rPh sb="0" eb="2">
      <t>ガンキン</t>
    </rPh>
    <rPh sb="2" eb="5">
      <t>ショウカンキン</t>
    </rPh>
    <phoneticPr fontId="2"/>
  </si>
  <si>
    <t>準元金償還金</t>
    <rPh sb="0" eb="1">
      <t>ジュン</t>
    </rPh>
    <rPh sb="1" eb="3">
      <t>ガンキン</t>
    </rPh>
    <rPh sb="3" eb="6">
      <t>ショウカンキン</t>
    </rPh>
    <phoneticPr fontId="2"/>
  </si>
  <si>
    <t>割合</t>
    <rPh sb="0" eb="2">
      <t>ワリアイ</t>
    </rPh>
    <phoneticPr fontId="2"/>
  </si>
  <si>
    <t>割合(３か年平均)</t>
    <rPh sb="0" eb="2">
      <t>ワリアイ</t>
    </rPh>
    <rPh sb="5" eb="6">
      <t>ネン</t>
    </rPh>
    <rPh sb="6" eb="8">
      <t>ヘイキン</t>
    </rPh>
    <phoneticPr fontId="2"/>
  </si>
  <si>
    <t>元金の残高</t>
    <rPh sb="0" eb="2">
      <t>ガンキン</t>
    </rPh>
    <rPh sb="3" eb="5">
      <t>ザンダカ</t>
    </rPh>
    <phoneticPr fontId="2"/>
  </si>
  <si>
    <t>算定に用いる額</t>
    <rPh sb="0" eb="2">
      <t>サンテイ</t>
    </rPh>
    <rPh sb="3" eb="4">
      <t>モチ</t>
    </rPh>
    <rPh sb="6" eb="7">
      <t>ガク</t>
    </rPh>
    <phoneticPr fontId="2"/>
  </si>
  <si>
    <t>特別会計名</t>
    <rPh sb="0" eb="2">
      <t>トクベツ</t>
    </rPh>
    <rPh sb="2" eb="4">
      <t>カイケイ</t>
    </rPh>
    <rPh sb="4" eb="5">
      <t>ナ</t>
    </rPh>
    <phoneticPr fontId="2"/>
  </si>
  <si>
    <t>繰出基準額</t>
    <rPh sb="0" eb="2">
      <t>クリダシ</t>
    </rPh>
    <rPh sb="2" eb="4">
      <t>キジュン</t>
    </rPh>
    <rPh sb="4" eb="5">
      <t>ガク</t>
    </rPh>
    <phoneticPr fontId="2"/>
  </si>
  <si>
    <t>　　　※　繰出基準額</t>
    <rPh sb="5" eb="7">
      <t>クリダシ</t>
    </rPh>
    <rPh sb="7" eb="9">
      <t>キジュン</t>
    </rPh>
    <rPh sb="9" eb="10">
      <t>ガク</t>
    </rPh>
    <phoneticPr fontId="2"/>
  </si>
  <si>
    <t>繰出基準割合</t>
    <rPh sb="0" eb="2">
      <t>クリダシ</t>
    </rPh>
    <rPh sb="2" eb="4">
      <t>キジュン</t>
    </rPh>
    <rPh sb="4" eb="6">
      <t>ワリアイ</t>
    </rPh>
    <phoneticPr fontId="2"/>
  </si>
  <si>
    <t>項　　　　　　　　　　目</t>
    <rPh sb="0" eb="1">
      <t>コウ</t>
    </rPh>
    <rPh sb="11" eb="12">
      <t>メ</t>
    </rPh>
    <phoneticPr fontId="2"/>
  </si>
  <si>
    <t>病院事業</t>
    <rPh sb="0" eb="2">
      <t>ビョウイン</t>
    </rPh>
    <rPh sb="2" eb="4">
      <t>ジギョウ</t>
    </rPh>
    <phoneticPr fontId="2"/>
  </si>
  <si>
    <t>建設改良に要する経費(H14まで)</t>
    <rPh sb="0" eb="2">
      <t>ケンセツ</t>
    </rPh>
    <rPh sb="2" eb="4">
      <t>カイリョウ</t>
    </rPh>
    <rPh sb="5" eb="6">
      <t>ヨウ</t>
    </rPh>
    <rPh sb="8" eb="10">
      <t>ケイヒ</t>
    </rPh>
    <phoneticPr fontId="2"/>
  </si>
  <si>
    <t>建設改良に要する経費(H15以降)</t>
    <rPh sb="0" eb="2">
      <t>ケンセツ</t>
    </rPh>
    <rPh sb="2" eb="4">
      <t>カイリョウ</t>
    </rPh>
    <rPh sb="5" eb="6">
      <t>ヨウ</t>
    </rPh>
    <rPh sb="8" eb="10">
      <t>ケイヒ</t>
    </rPh>
    <rPh sb="14" eb="16">
      <t>イコウ</t>
    </rPh>
    <phoneticPr fontId="2"/>
  </si>
  <si>
    <t>下水道事業</t>
    <rPh sb="0" eb="3">
      <t>ゲスイドウ</t>
    </rPh>
    <rPh sb="3" eb="5">
      <t>ジギョウ</t>
    </rPh>
    <phoneticPr fontId="2"/>
  </si>
  <si>
    <t>雨水処理に要する経費</t>
    <rPh sb="0" eb="2">
      <t>ウスイ</t>
    </rPh>
    <rPh sb="2" eb="4">
      <t>ショリ</t>
    </rPh>
    <rPh sb="5" eb="6">
      <t>ヨウ</t>
    </rPh>
    <rPh sb="8" eb="10">
      <t>ケイヒ</t>
    </rPh>
    <phoneticPr fontId="2"/>
  </si>
  <si>
    <t>分流式下水道等に要する経費</t>
    <rPh sb="0" eb="2">
      <t>ブンリュウ</t>
    </rPh>
    <rPh sb="2" eb="3">
      <t>シキ</t>
    </rPh>
    <rPh sb="3" eb="7">
      <t>ゲスイドウトウ</t>
    </rPh>
    <rPh sb="8" eb="9">
      <t>ヨウ</t>
    </rPh>
    <rPh sb="11" eb="13">
      <t>ケイヒ</t>
    </rPh>
    <phoneticPr fontId="2"/>
  </si>
  <si>
    <t>流域下水道の建設に要する経費</t>
    <rPh sb="0" eb="2">
      <t>リュウイキ</t>
    </rPh>
    <rPh sb="2" eb="5">
      <t>ゲスイドウ</t>
    </rPh>
    <rPh sb="6" eb="8">
      <t>ケンセツ</t>
    </rPh>
    <rPh sb="9" eb="10">
      <t>ヨウ</t>
    </rPh>
    <rPh sb="12" eb="14">
      <t>ケイヒ</t>
    </rPh>
    <phoneticPr fontId="2"/>
  </si>
  <si>
    <t>普及特別対策に要する経費</t>
    <rPh sb="0" eb="2">
      <t>フキュウ</t>
    </rPh>
    <rPh sb="2" eb="4">
      <t>トクベツ</t>
    </rPh>
    <rPh sb="4" eb="6">
      <t>タイサク</t>
    </rPh>
    <rPh sb="7" eb="8">
      <t>ヨウ</t>
    </rPh>
    <rPh sb="10" eb="12">
      <t>ケイヒ</t>
    </rPh>
    <phoneticPr fontId="2"/>
  </si>
  <si>
    <t>臨時財政特例債等の償還等に要する経費</t>
    <rPh sb="0" eb="2">
      <t>リンジ</t>
    </rPh>
    <rPh sb="2" eb="4">
      <t>ザイセイ</t>
    </rPh>
    <rPh sb="4" eb="8">
      <t>トクレイサイトウ</t>
    </rPh>
    <rPh sb="9" eb="12">
      <t>ショウカントウ</t>
    </rPh>
    <rPh sb="13" eb="14">
      <t>ヨウ</t>
    </rPh>
    <rPh sb="16" eb="18">
      <t>ケイヒ</t>
    </rPh>
    <phoneticPr fontId="2"/>
  </si>
  <si>
    <t>公営企業債等
繰入見込額</t>
    <rPh sb="0" eb="2">
      <t>コウエイ</t>
    </rPh>
    <rPh sb="2" eb="4">
      <t>キギョウ</t>
    </rPh>
    <rPh sb="4" eb="6">
      <t>サイナド</t>
    </rPh>
    <rPh sb="7" eb="9">
      <t>クリイレ</t>
    </rPh>
    <rPh sb="9" eb="11">
      <t>ミコミ</t>
    </rPh>
    <rPh sb="11" eb="12">
      <t>ガク</t>
    </rPh>
    <phoneticPr fontId="2"/>
  </si>
  <si>
    <t>⑤　退職手当負担見込額　＝　一般会計等で負担することが見込まれる一般職・特別職の全員が前年度末日に自己都合により退職した場合に支給される基本額・調整額</t>
    <rPh sb="14" eb="16">
      <t>イッパン</t>
    </rPh>
    <rPh sb="16" eb="19">
      <t>カイケイトウ</t>
    </rPh>
    <rPh sb="20" eb="22">
      <t>フタン</t>
    </rPh>
    <rPh sb="27" eb="29">
      <t>ミコ</t>
    </rPh>
    <rPh sb="32" eb="34">
      <t>イッパン</t>
    </rPh>
    <rPh sb="34" eb="35">
      <t>ショク</t>
    </rPh>
    <rPh sb="36" eb="38">
      <t>トクベツ</t>
    </rPh>
    <rPh sb="38" eb="39">
      <t>ショク</t>
    </rPh>
    <rPh sb="40" eb="42">
      <t>ゼンイン</t>
    </rPh>
    <rPh sb="43" eb="46">
      <t>ゼンネンド</t>
    </rPh>
    <rPh sb="46" eb="48">
      <t>マツジツ</t>
    </rPh>
    <rPh sb="49" eb="51">
      <t>ジコ</t>
    </rPh>
    <rPh sb="51" eb="53">
      <t>ツゴウ</t>
    </rPh>
    <rPh sb="56" eb="58">
      <t>タイショク</t>
    </rPh>
    <rPh sb="60" eb="62">
      <t>バアイ</t>
    </rPh>
    <rPh sb="63" eb="65">
      <t>シキュウ</t>
    </rPh>
    <rPh sb="68" eb="70">
      <t>キホン</t>
    </rPh>
    <rPh sb="70" eb="71">
      <t>ガク</t>
    </rPh>
    <rPh sb="72" eb="74">
      <t>チョウセイ</t>
    </rPh>
    <rPh sb="74" eb="75">
      <t>ガク</t>
    </rPh>
    <phoneticPr fontId="2"/>
  </si>
  <si>
    <t>一般職</t>
    <rPh sb="0" eb="2">
      <t>イッパン</t>
    </rPh>
    <rPh sb="2" eb="3">
      <t>ショク</t>
    </rPh>
    <phoneticPr fontId="2"/>
  </si>
  <si>
    <t>特別職</t>
    <rPh sb="0" eb="2">
      <t>トクベツ</t>
    </rPh>
    <rPh sb="2" eb="3">
      <t>ショク</t>
    </rPh>
    <phoneticPr fontId="2"/>
  </si>
  <si>
    <t>人数</t>
    <rPh sb="0" eb="2">
      <t>ニンズウ</t>
    </rPh>
    <phoneticPr fontId="2"/>
  </si>
  <si>
    <t>基本給</t>
    <rPh sb="0" eb="3">
      <t>キホンキュウ</t>
    </rPh>
    <phoneticPr fontId="2"/>
  </si>
  <si>
    <t>調整額</t>
    <rPh sb="0" eb="2">
      <t>チョウセイ</t>
    </rPh>
    <rPh sb="2" eb="3">
      <t>ガク</t>
    </rPh>
    <phoneticPr fontId="2"/>
  </si>
  <si>
    <t>区分</t>
    <rPh sb="0" eb="2">
      <t>クブン</t>
    </rPh>
    <phoneticPr fontId="2"/>
  </si>
  <si>
    <t>２　充当可能基金額</t>
    <rPh sb="2" eb="4">
      <t>ジュウトウ</t>
    </rPh>
    <rPh sb="4" eb="6">
      <t>カノウ</t>
    </rPh>
    <rPh sb="6" eb="8">
      <t>キキン</t>
    </rPh>
    <rPh sb="8" eb="9">
      <t>ガク</t>
    </rPh>
    <phoneticPr fontId="2"/>
  </si>
  <si>
    <t>前年度末基金残高</t>
    <rPh sb="0" eb="3">
      <t>ゼンネンド</t>
    </rPh>
    <rPh sb="3" eb="4">
      <t>マツ</t>
    </rPh>
    <rPh sb="4" eb="6">
      <t>キキン</t>
    </rPh>
    <rPh sb="6" eb="8">
      <t>ザンダカ</t>
    </rPh>
    <phoneticPr fontId="2"/>
  </si>
  <si>
    <t>災害救助基金</t>
    <rPh sb="0" eb="2">
      <t>サイガイ</t>
    </rPh>
    <rPh sb="2" eb="4">
      <t>キュウジョ</t>
    </rPh>
    <rPh sb="4" eb="6">
      <t>キキン</t>
    </rPh>
    <phoneticPr fontId="2"/>
  </si>
  <si>
    <t>地方自治法第241条の基金のうち、①～④以外の基金で、現金･預金・国債・地方債及び政府保証債等として保有するもの</t>
    <rPh sb="0" eb="2">
      <t>チホウ</t>
    </rPh>
    <rPh sb="2" eb="4">
      <t>ジチ</t>
    </rPh>
    <rPh sb="4" eb="5">
      <t>ホウ</t>
    </rPh>
    <rPh sb="5" eb="6">
      <t>ダイ</t>
    </rPh>
    <rPh sb="9" eb="10">
      <t>ジョウ</t>
    </rPh>
    <rPh sb="11" eb="13">
      <t>キキン</t>
    </rPh>
    <rPh sb="20" eb="22">
      <t>イガイ</t>
    </rPh>
    <rPh sb="23" eb="25">
      <t>キキン</t>
    </rPh>
    <rPh sb="27" eb="29">
      <t>ゲンキン</t>
    </rPh>
    <rPh sb="30" eb="32">
      <t>ヨキン</t>
    </rPh>
    <rPh sb="33" eb="35">
      <t>コクサイ</t>
    </rPh>
    <rPh sb="36" eb="39">
      <t>チホウサイ</t>
    </rPh>
    <rPh sb="39" eb="40">
      <t>オヨ</t>
    </rPh>
    <rPh sb="41" eb="43">
      <t>セイフ</t>
    </rPh>
    <rPh sb="43" eb="46">
      <t>ホショウサイ</t>
    </rPh>
    <rPh sb="46" eb="47">
      <t>トウ</t>
    </rPh>
    <rPh sb="50" eb="52">
      <t>ホユウ</t>
    </rPh>
    <phoneticPr fontId="2"/>
  </si>
  <si>
    <t>財政安定化基金
(後期高齢者医療)</t>
    <rPh sb="0" eb="2">
      <t>ザイセイ</t>
    </rPh>
    <rPh sb="2" eb="5">
      <t>アンテイカ</t>
    </rPh>
    <rPh sb="5" eb="7">
      <t>キキン</t>
    </rPh>
    <rPh sb="9" eb="11">
      <t>コウキ</t>
    </rPh>
    <rPh sb="11" eb="14">
      <t>コウレイシャ</t>
    </rPh>
    <rPh sb="14" eb="16">
      <t>イリョウ</t>
    </rPh>
    <phoneticPr fontId="2"/>
  </si>
  <si>
    <t>財政安定化基金
(介護保険制度)</t>
    <rPh sb="9" eb="11">
      <t>カイゴ</t>
    </rPh>
    <rPh sb="11" eb="13">
      <t>ホケン</t>
    </rPh>
    <rPh sb="13" eb="15">
      <t>セイド</t>
    </rPh>
    <phoneticPr fontId="2"/>
  </si>
  <si>
    <t>公営企業に
設けられた基金等</t>
    <rPh sb="0" eb="2">
      <t>コウエイ</t>
    </rPh>
    <rPh sb="2" eb="4">
      <t>キギョウ</t>
    </rPh>
    <rPh sb="6" eb="7">
      <t>モウ</t>
    </rPh>
    <rPh sb="11" eb="13">
      <t>キキン</t>
    </rPh>
    <rPh sb="13" eb="14">
      <t>トウ</t>
    </rPh>
    <phoneticPr fontId="2"/>
  </si>
  <si>
    <t>繰替運用</t>
    <rPh sb="0" eb="2">
      <t>クリカ</t>
    </rPh>
    <rPh sb="2" eb="4">
      <t>ウンヨウ</t>
    </rPh>
    <phoneticPr fontId="2"/>
  </si>
  <si>
    <t>土地開発基金の
土地現金換算額</t>
    <rPh sb="0" eb="2">
      <t>トチ</t>
    </rPh>
    <rPh sb="2" eb="4">
      <t>カイハツ</t>
    </rPh>
    <rPh sb="4" eb="6">
      <t>キキン</t>
    </rPh>
    <rPh sb="8" eb="10">
      <t>トチ</t>
    </rPh>
    <rPh sb="10" eb="12">
      <t>ゲンキン</t>
    </rPh>
    <rPh sb="12" eb="14">
      <t>カンサン</t>
    </rPh>
    <rPh sb="14" eb="15">
      <t>ガク</t>
    </rPh>
    <phoneticPr fontId="2"/>
  </si>
  <si>
    <t>充当可能基金額</t>
  </si>
  <si>
    <t>３　特定財源見込額</t>
    <rPh sb="2" eb="4">
      <t>トクテイ</t>
    </rPh>
    <rPh sb="4" eb="6">
      <t>ザイゲン</t>
    </rPh>
    <rPh sb="6" eb="8">
      <t>ミコミ</t>
    </rPh>
    <rPh sb="8" eb="9">
      <t>ガク</t>
    </rPh>
    <phoneticPr fontId="2"/>
  </si>
  <si>
    <t>国・県支出金又は他の地方公共団体からの分担金･負担金、地方債を原資として貸し付けた貸付金の償還金、公営住宅の賃借料その他の使用料、</t>
    <rPh sb="0" eb="1">
      <t>クニ</t>
    </rPh>
    <rPh sb="2" eb="3">
      <t>ケン</t>
    </rPh>
    <rPh sb="3" eb="6">
      <t>シシュツキン</t>
    </rPh>
    <rPh sb="6" eb="7">
      <t>マタ</t>
    </rPh>
    <rPh sb="8" eb="9">
      <t>タ</t>
    </rPh>
    <rPh sb="10" eb="12">
      <t>チホウ</t>
    </rPh>
    <rPh sb="12" eb="14">
      <t>コウキョウ</t>
    </rPh>
    <rPh sb="14" eb="16">
      <t>ダンタイ</t>
    </rPh>
    <rPh sb="19" eb="22">
      <t>ブンタンキン</t>
    </rPh>
    <rPh sb="23" eb="26">
      <t>フタンキン</t>
    </rPh>
    <rPh sb="27" eb="30">
      <t>チホウサイ</t>
    </rPh>
    <rPh sb="31" eb="33">
      <t>ゲンシ</t>
    </rPh>
    <rPh sb="36" eb="37">
      <t>カ</t>
    </rPh>
    <rPh sb="38" eb="39">
      <t>ツ</t>
    </rPh>
    <rPh sb="41" eb="43">
      <t>カシツケ</t>
    </rPh>
    <rPh sb="43" eb="44">
      <t>キン</t>
    </rPh>
    <rPh sb="45" eb="48">
      <t>ショウカンキン</t>
    </rPh>
    <rPh sb="49" eb="51">
      <t>コウエイ</t>
    </rPh>
    <rPh sb="51" eb="53">
      <t>ジュウタク</t>
    </rPh>
    <rPh sb="54" eb="57">
      <t>チンシャクリョウ</t>
    </rPh>
    <rPh sb="59" eb="60">
      <t>タ</t>
    </rPh>
    <rPh sb="61" eb="64">
      <t>シヨウリョウ</t>
    </rPh>
    <phoneticPr fontId="2"/>
  </si>
  <si>
    <t>都市計画税、その他特定の歳入</t>
  </si>
  <si>
    <t>都市計画税収</t>
    <rPh sb="0" eb="2">
      <t>トシ</t>
    </rPh>
    <rPh sb="2" eb="4">
      <t>ケイカク</t>
    </rPh>
    <rPh sb="4" eb="6">
      <t>ゼイシュウ</t>
    </rPh>
    <phoneticPr fontId="2"/>
  </si>
  <si>
    <t>都市計画事業費</t>
    <rPh sb="0" eb="2">
      <t>トシ</t>
    </rPh>
    <rPh sb="2" eb="4">
      <t>ケイカク</t>
    </rPh>
    <rPh sb="4" eb="7">
      <t>ジギョウヒ</t>
    </rPh>
    <phoneticPr fontId="2"/>
  </si>
  <si>
    <t>特定財源</t>
    <rPh sb="0" eb="2">
      <t>トクテイ</t>
    </rPh>
    <rPh sb="2" eb="4">
      <t>ザイゲン</t>
    </rPh>
    <phoneticPr fontId="2"/>
  </si>
  <si>
    <t>都市計画事業に係る地方債の元金償還金等</t>
    <rPh sb="0" eb="2">
      <t>トシ</t>
    </rPh>
    <rPh sb="2" eb="4">
      <t>ケイカク</t>
    </rPh>
    <rPh sb="4" eb="6">
      <t>ジギョウ</t>
    </rPh>
    <rPh sb="7" eb="8">
      <t>カカ</t>
    </rPh>
    <rPh sb="9" eb="12">
      <t>チホウサイ</t>
    </rPh>
    <rPh sb="13" eb="15">
      <t>ガンキン</t>
    </rPh>
    <rPh sb="15" eb="18">
      <t>ショウカンキン</t>
    </rPh>
    <rPh sb="18" eb="19">
      <t>トウ</t>
    </rPh>
    <phoneticPr fontId="2"/>
  </si>
  <si>
    <t>一般会計等に係る地方債の現在高</t>
    <rPh sb="0" eb="2">
      <t>イッパン</t>
    </rPh>
    <rPh sb="2" eb="5">
      <t>カイケイトウ</t>
    </rPh>
    <rPh sb="6" eb="7">
      <t>カカ</t>
    </rPh>
    <rPh sb="8" eb="11">
      <t>チホウサイ</t>
    </rPh>
    <rPh sb="12" eb="15">
      <t>ゲンザイダカ</t>
    </rPh>
    <phoneticPr fontId="2"/>
  </si>
  <si>
    <t>特別会計の元金償還額に対する一般会計等からの繰入見込額</t>
    <rPh sb="0" eb="2">
      <t>トクベツ</t>
    </rPh>
    <rPh sb="2" eb="4">
      <t>カイケイ</t>
    </rPh>
    <rPh sb="5" eb="7">
      <t>ガンキン</t>
    </rPh>
    <rPh sb="7" eb="9">
      <t>ショウカン</t>
    </rPh>
    <rPh sb="9" eb="10">
      <t>ガク</t>
    </rPh>
    <rPh sb="11" eb="12">
      <t>タイ</t>
    </rPh>
    <rPh sb="14" eb="16">
      <t>イッパン</t>
    </rPh>
    <rPh sb="16" eb="19">
      <t>カイケイトウ</t>
    </rPh>
    <rPh sb="22" eb="24">
      <t>クリイレ</t>
    </rPh>
    <rPh sb="24" eb="26">
      <t>ミコミ</t>
    </rPh>
    <rPh sb="26" eb="27">
      <t>ガク</t>
    </rPh>
    <phoneticPr fontId="2"/>
  </si>
  <si>
    <t>組合等の元金償還額に対する一般会計等からの繰入見込額</t>
    <rPh sb="0" eb="3">
      <t>クミアイトウ</t>
    </rPh>
    <rPh sb="4" eb="6">
      <t>ガンキン</t>
    </rPh>
    <rPh sb="6" eb="8">
      <t>ショウカン</t>
    </rPh>
    <rPh sb="8" eb="9">
      <t>ガク</t>
    </rPh>
    <rPh sb="10" eb="11">
      <t>タイ</t>
    </rPh>
    <rPh sb="13" eb="15">
      <t>イッパン</t>
    </rPh>
    <rPh sb="15" eb="18">
      <t>カイケイトウ</t>
    </rPh>
    <rPh sb="21" eb="23">
      <t>クリイレ</t>
    </rPh>
    <rPh sb="23" eb="25">
      <t>ミコミ</t>
    </rPh>
    <rPh sb="25" eb="26">
      <t>ガク</t>
    </rPh>
    <phoneticPr fontId="2"/>
  </si>
  <si>
    <t>小　　計</t>
    <rPh sb="0" eb="1">
      <t>ショウ</t>
    </rPh>
    <rPh sb="3" eb="4">
      <t>ケイ</t>
    </rPh>
    <phoneticPr fontId="2"/>
  </si>
  <si>
    <t>都市計画税収</t>
    <rPh sb="0" eb="2">
      <t>トシ</t>
    </rPh>
    <rPh sb="2" eb="4">
      <t>ケイカク</t>
    </rPh>
    <rPh sb="4" eb="5">
      <t>ゼイ</t>
    </rPh>
    <rPh sb="5" eb="6">
      <t>オサム</t>
    </rPh>
    <phoneticPr fontId="2"/>
  </si>
  <si>
    <t>充当率</t>
    <rPh sb="0" eb="2">
      <t>ジュウトウ</t>
    </rPh>
    <rPh sb="2" eb="3">
      <t>リツ</t>
    </rPh>
    <phoneticPr fontId="2"/>
  </si>
  <si>
    <t>平均充当率</t>
    <rPh sb="0" eb="2">
      <t>ヘイキン</t>
    </rPh>
    <rPh sb="2" eb="4">
      <t>ジュウトウ</t>
    </rPh>
    <rPh sb="4" eb="5">
      <t>リツ</t>
    </rPh>
    <phoneticPr fontId="2"/>
  </si>
  <si>
    <t>都市計画事業に係る地方債の現在高等</t>
    <rPh sb="0" eb="2">
      <t>トシ</t>
    </rPh>
    <rPh sb="2" eb="4">
      <t>ケイカク</t>
    </rPh>
    <rPh sb="4" eb="6">
      <t>ジギョウ</t>
    </rPh>
    <rPh sb="7" eb="8">
      <t>カカ</t>
    </rPh>
    <rPh sb="9" eb="12">
      <t>チホウサイ</t>
    </rPh>
    <rPh sb="13" eb="15">
      <t>ゲンザイ</t>
    </rPh>
    <rPh sb="15" eb="17">
      <t>コウトウ</t>
    </rPh>
    <phoneticPr fontId="2"/>
  </si>
  <si>
    <t>都市計画税
充当見込額</t>
    <rPh sb="0" eb="2">
      <t>トシ</t>
    </rPh>
    <rPh sb="2" eb="4">
      <t>ケイカク</t>
    </rPh>
    <rPh sb="4" eb="5">
      <t>ゼイ</t>
    </rPh>
    <rPh sb="6" eb="8">
      <t>ジュウトウ</t>
    </rPh>
    <rPh sb="8" eb="10">
      <t>ミコミ</t>
    </rPh>
    <rPh sb="10" eb="11">
      <t>ガク</t>
    </rPh>
    <phoneticPr fontId="2"/>
  </si>
  <si>
    <t>債務負担行為に
基づく一般会計
等の支出予定額</t>
    <rPh sb="0" eb="2">
      <t>サイム</t>
    </rPh>
    <rPh sb="2" eb="4">
      <t>フタン</t>
    </rPh>
    <rPh sb="4" eb="6">
      <t>コウイ</t>
    </rPh>
    <rPh sb="8" eb="9">
      <t>モト</t>
    </rPh>
    <rPh sb="11" eb="13">
      <t>イッパン</t>
    </rPh>
    <rPh sb="13" eb="15">
      <t>カイケイ</t>
    </rPh>
    <rPh sb="16" eb="17">
      <t>トウ</t>
    </rPh>
    <rPh sb="18" eb="20">
      <t>シシュツ</t>
    </rPh>
    <rPh sb="20" eb="22">
      <t>ヨテイ</t>
    </rPh>
    <rPh sb="22" eb="23">
      <t>ガク</t>
    </rPh>
    <phoneticPr fontId="2"/>
  </si>
  <si>
    <t>充当可能財源</t>
    <rPh sb="0" eb="2">
      <t>ジュウトウ</t>
    </rPh>
    <rPh sb="2" eb="4">
      <t>カノウ</t>
    </rPh>
    <rPh sb="4" eb="6">
      <t>ザイゲン</t>
    </rPh>
    <phoneticPr fontId="2"/>
  </si>
  <si>
    <t>費目</t>
    <rPh sb="0" eb="2">
      <t>ヒモク</t>
    </rPh>
    <phoneticPr fontId="2"/>
  </si>
  <si>
    <t>算入見込額</t>
    <rPh sb="0" eb="2">
      <t>サンニュウ</t>
    </rPh>
    <rPh sb="2" eb="4">
      <t>ミコミ</t>
    </rPh>
    <rPh sb="4" eb="5">
      <t>ガク</t>
    </rPh>
    <phoneticPr fontId="2"/>
  </si>
  <si>
    <t>債務負担行為に
基づく支出予定額</t>
    <rPh sb="0" eb="2">
      <t>サイム</t>
    </rPh>
    <rPh sb="2" eb="4">
      <t>フタン</t>
    </rPh>
    <rPh sb="4" eb="6">
      <t>コウイ</t>
    </rPh>
    <rPh sb="8" eb="9">
      <t>モト</t>
    </rPh>
    <rPh sb="11" eb="13">
      <t>シシュツ</t>
    </rPh>
    <rPh sb="13" eb="15">
      <t>ヨテイ</t>
    </rPh>
    <rPh sb="15" eb="16">
      <t>ガク</t>
    </rPh>
    <phoneticPr fontId="2"/>
  </si>
  <si>
    <t>設立法人の負債額
等負担見込額</t>
    <rPh sb="0" eb="2">
      <t>セツリツ</t>
    </rPh>
    <rPh sb="2" eb="4">
      <t>ホウジン</t>
    </rPh>
    <rPh sb="5" eb="7">
      <t>フサイ</t>
    </rPh>
    <rPh sb="7" eb="8">
      <t>ガク</t>
    </rPh>
    <rPh sb="9" eb="10">
      <t>ヒトシ</t>
    </rPh>
    <rPh sb="10" eb="12">
      <t>フタン</t>
    </rPh>
    <rPh sb="12" eb="14">
      <t>ミコミ</t>
    </rPh>
    <rPh sb="14" eb="15">
      <t>ガク</t>
    </rPh>
    <phoneticPr fontId="2"/>
  </si>
  <si>
    <t>公債費又は事業費補正若しくは密度補正により基準財政需要額に算入されることが見込まれる額</t>
    <rPh sb="0" eb="3">
      <t>コウサイヒ</t>
    </rPh>
    <rPh sb="3" eb="4">
      <t>マタ</t>
    </rPh>
    <rPh sb="5" eb="8">
      <t>ジギョウヒ</t>
    </rPh>
    <rPh sb="8" eb="10">
      <t>ホセイ</t>
    </rPh>
    <rPh sb="10" eb="11">
      <t>モ</t>
    </rPh>
    <rPh sb="14" eb="16">
      <t>ミツド</t>
    </rPh>
    <rPh sb="16" eb="18">
      <t>ホセイ</t>
    </rPh>
    <rPh sb="21" eb="23">
      <t>キジュン</t>
    </rPh>
    <rPh sb="23" eb="25">
      <t>ザイセイ</t>
    </rPh>
    <rPh sb="25" eb="27">
      <t>ジュヨウ</t>
    </rPh>
    <rPh sb="27" eb="28">
      <t>ガク</t>
    </rPh>
    <rPh sb="29" eb="31">
      <t>サンニュウ</t>
    </rPh>
    <rPh sb="37" eb="39">
      <t>ミコ</t>
    </rPh>
    <rPh sb="42" eb="43">
      <t>ガク</t>
    </rPh>
    <phoneticPr fontId="2"/>
  </si>
  <si>
    <t>消防費</t>
    <rPh sb="0" eb="2">
      <t>ショウボウ</t>
    </rPh>
    <rPh sb="2" eb="3">
      <t>ヒ</t>
    </rPh>
    <phoneticPr fontId="2"/>
  </si>
  <si>
    <t>道路橋りょう費</t>
    <rPh sb="0" eb="2">
      <t>ドウロ</t>
    </rPh>
    <rPh sb="2" eb="3">
      <t>キョウ</t>
    </rPh>
    <rPh sb="6" eb="7">
      <t>ヒ</t>
    </rPh>
    <phoneticPr fontId="2"/>
  </si>
  <si>
    <t>港湾費</t>
    <rPh sb="0" eb="2">
      <t>コウワン</t>
    </rPh>
    <rPh sb="2" eb="3">
      <t>ヒ</t>
    </rPh>
    <phoneticPr fontId="2"/>
  </si>
  <si>
    <t>都市計画費</t>
    <rPh sb="0" eb="2">
      <t>トシ</t>
    </rPh>
    <rPh sb="2" eb="4">
      <t>ケイカク</t>
    </rPh>
    <rPh sb="4" eb="5">
      <t>ヒ</t>
    </rPh>
    <phoneticPr fontId="2"/>
  </si>
  <si>
    <t>公園費</t>
    <rPh sb="0" eb="2">
      <t>コウエン</t>
    </rPh>
    <rPh sb="2" eb="3">
      <t>ヒ</t>
    </rPh>
    <phoneticPr fontId="2"/>
  </si>
  <si>
    <t>下水道費</t>
    <rPh sb="0" eb="3">
      <t>ゲスイドウ</t>
    </rPh>
    <rPh sb="3" eb="4">
      <t>ヒ</t>
    </rPh>
    <phoneticPr fontId="2"/>
  </si>
  <si>
    <t>その他土木費</t>
    <rPh sb="2" eb="3">
      <t>タ</t>
    </rPh>
    <rPh sb="3" eb="5">
      <t>ドボク</t>
    </rPh>
    <rPh sb="5" eb="6">
      <t>ヒ</t>
    </rPh>
    <phoneticPr fontId="2"/>
  </si>
  <si>
    <t>小学校費</t>
    <rPh sb="0" eb="3">
      <t>ショウガッコウ</t>
    </rPh>
    <rPh sb="3" eb="4">
      <t>ヒ</t>
    </rPh>
    <phoneticPr fontId="2"/>
  </si>
  <si>
    <t>中学校費</t>
    <rPh sb="0" eb="3">
      <t>チュウガッコウ</t>
    </rPh>
    <rPh sb="3" eb="4">
      <t>ヒ</t>
    </rPh>
    <phoneticPr fontId="2"/>
  </si>
  <si>
    <t>高等学校費</t>
    <rPh sb="0" eb="2">
      <t>コウトウ</t>
    </rPh>
    <rPh sb="2" eb="4">
      <t>ガッコウ</t>
    </rPh>
    <rPh sb="4" eb="5">
      <t>ヒ</t>
    </rPh>
    <phoneticPr fontId="2"/>
  </si>
  <si>
    <t>社会福祉費</t>
    <rPh sb="0" eb="2">
      <t>シャカイ</t>
    </rPh>
    <rPh sb="2" eb="4">
      <t>フクシ</t>
    </rPh>
    <rPh sb="4" eb="5">
      <t>ヒ</t>
    </rPh>
    <phoneticPr fontId="2"/>
  </si>
  <si>
    <t>保健衛生費</t>
    <rPh sb="0" eb="2">
      <t>ホケン</t>
    </rPh>
    <rPh sb="2" eb="5">
      <t>エイセイヒ</t>
    </rPh>
    <phoneticPr fontId="2"/>
  </si>
  <si>
    <t>高齢者保健福祉費</t>
    <rPh sb="0" eb="3">
      <t>コウレイシャ</t>
    </rPh>
    <rPh sb="3" eb="5">
      <t>ホケン</t>
    </rPh>
    <rPh sb="5" eb="7">
      <t>フクシ</t>
    </rPh>
    <rPh sb="7" eb="8">
      <t>ヒ</t>
    </rPh>
    <phoneticPr fontId="2"/>
  </si>
  <si>
    <t>清掃費</t>
    <rPh sb="0" eb="2">
      <t>セイソウ</t>
    </rPh>
    <rPh sb="2" eb="3">
      <t>ヒ</t>
    </rPh>
    <phoneticPr fontId="2"/>
  </si>
  <si>
    <t>農業行政費</t>
    <rPh sb="0" eb="2">
      <t>ノウギョウ</t>
    </rPh>
    <rPh sb="2" eb="4">
      <t>ギョウセイ</t>
    </rPh>
    <rPh sb="4" eb="5">
      <t>ヒ</t>
    </rPh>
    <phoneticPr fontId="2"/>
  </si>
  <si>
    <t>林野水産行政費</t>
    <rPh sb="0" eb="2">
      <t>リンヤ</t>
    </rPh>
    <rPh sb="2" eb="4">
      <t>スイサン</t>
    </rPh>
    <rPh sb="4" eb="6">
      <t>ギョウセイ</t>
    </rPh>
    <rPh sb="6" eb="7">
      <t>ヒ</t>
    </rPh>
    <phoneticPr fontId="2"/>
  </si>
  <si>
    <t>地域振興費</t>
    <rPh sb="0" eb="2">
      <t>チイキ</t>
    </rPh>
    <rPh sb="2" eb="4">
      <t>シンコウ</t>
    </rPh>
    <rPh sb="4" eb="5">
      <t>ヒ</t>
    </rPh>
    <phoneticPr fontId="2"/>
  </si>
  <si>
    <t>公債費</t>
    <rPh sb="0" eb="3">
      <t>コウサイヒ</t>
    </rPh>
    <phoneticPr fontId="2"/>
  </si>
  <si>
    <t>合計</t>
    <rPh sb="0" eb="2">
      <t>ゴウケイ</t>
    </rPh>
    <phoneticPr fontId="2"/>
  </si>
  <si>
    <t>実質公債費比率の算定時に用いた数値</t>
    <rPh sb="0" eb="2">
      <t>ジッシツ</t>
    </rPh>
    <rPh sb="2" eb="5">
      <t>コウサイヒ</t>
    </rPh>
    <rPh sb="5" eb="7">
      <t>ヒリツ</t>
    </rPh>
    <rPh sb="8" eb="10">
      <t>サンテイ</t>
    </rPh>
    <rPh sb="10" eb="11">
      <t>ジ</t>
    </rPh>
    <rPh sb="12" eb="13">
      <t>モチ</t>
    </rPh>
    <rPh sb="15" eb="17">
      <t>スウチ</t>
    </rPh>
    <phoneticPr fontId="2"/>
  </si>
  <si>
    <t>１　資金の不足額（剰余額）</t>
    <rPh sb="2" eb="4">
      <t>シキン</t>
    </rPh>
    <rPh sb="5" eb="7">
      <t>フソク</t>
    </rPh>
    <rPh sb="7" eb="8">
      <t>ガク</t>
    </rPh>
    <rPh sb="9" eb="11">
      <t>ジョウヨ</t>
    </rPh>
    <rPh sb="11" eb="12">
      <t>ガク</t>
    </rPh>
    <phoneticPr fontId="2"/>
  </si>
  <si>
    <t>連結赤字比率算定時と同じ</t>
    <rPh sb="0" eb="2">
      <t>レンケツ</t>
    </rPh>
    <rPh sb="2" eb="4">
      <t>アカジ</t>
    </rPh>
    <rPh sb="4" eb="6">
      <t>ヒリツ</t>
    </rPh>
    <rPh sb="6" eb="8">
      <t>サンテイ</t>
    </rPh>
    <rPh sb="8" eb="9">
      <t>ジ</t>
    </rPh>
    <rPh sb="10" eb="11">
      <t>オナ</t>
    </rPh>
    <phoneticPr fontId="2"/>
  </si>
  <si>
    <t>２　事業の規模</t>
    <rPh sb="2" eb="4">
      <t>ジギョウ</t>
    </rPh>
    <rPh sb="5" eb="7">
      <t>キボ</t>
    </rPh>
    <phoneticPr fontId="2"/>
  </si>
  <si>
    <t>　①　法適用事業(宅地造成以外)　＝　営業収益の額　－　受託工事収益の額</t>
    <rPh sb="3" eb="4">
      <t>ホウ</t>
    </rPh>
    <rPh sb="4" eb="6">
      <t>テキヨウ</t>
    </rPh>
    <rPh sb="6" eb="8">
      <t>ジギョウ</t>
    </rPh>
    <rPh sb="9" eb="11">
      <t>タクチ</t>
    </rPh>
    <rPh sb="11" eb="13">
      <t>ゾウセイ</t>
    </rPh>
    <rPh sb="13" eb="15">
      <t>イガイ</t>
    </rPh>
    <rPh sb="19" eb="21">
      <t>エイギョウ</t>
    </rPh>
    <rPh sb="21" eb="23">
      <t>シュウエキ</t>
    </rPh>
    <rPh sb="24" eb="25">
      <t>ガク</t>
    </rPh>
    <rPh sb="28" eb="30">
      <t>ジュタク</t>
    </rPh>
    <rPh sb="30" eb="32">
      <t>コウジ</t>
    </rPh>
    <rPh sb="32" eb="34">
      <t>シュウエキ</t>
    </rPh>
    <rPh sb="35" eb="36">
      <t>ガク</t>
    </rPh>
    <phoneticPr fontId="2"/>
  </si>
  <si>
    <t>営業収益の額</t>
    <rPh sb="0" eb="2">
      <t>エイギョウ</t>
    </rPh>
    <rPh sb="2" eb="4">
      <t>シュウエキ</t>
    </rPh>
    <rPh sb="5" eb="6">
      <t>ガク</t>
    </rPh>
    <phoneticPr fontId="2"/>
  </si>
  <si>
    <t>受託工事
収益の額</t>
    <rPh sb="0" eb="2">
      <t>ジュタク</t>
    </rPh>
    <rPh sb="2" eb="4">
      <t>コウジ</t>
    </rPh>
    <rPh sb="5" eb="7">
      <t>シュウエキ</t>
    </rPh>
    <rPh sb="8" eb="9">
      <t>ガク</t>
    </rPh>
    <phoneticPr fontId="2"/>
  </si>
  <si>
    <t>経営健全化
基準</t>
    <rPh sb="0" eb="2">
      <t>ケイエイ</t>
    </rPh>
    <rPh sb="2" eb="5">
      <t>ケンゼンカ</t>
    </rPh>
    <rPh sb="6" eb="8">
      <t>キジュン</t>
    </rPh>
    <phoneticPr fontId="2"/>
  </si>
  <si>
    <t>(公営企業決算統計より)</t>
    <rPh sb="1" eb="3">
      <t>コウエイ</t>
    </rPh>
    <rPh sb="3" eb="5">
      <t>キギョウ</t>
    </rPh>
    <rPh sb="5" eb="7">
      <t>ケッサン</t>
    </rPh>
    <rPh sb="7" eb="9">
      <t>トウケイ</t>
    </rPh>
    <phoneticPr fontId="2"/>
  </si>
  <si>
    <t>繰上償還額及び
借換債を財源
とした償還額</t>
    <rPh sb="8" eb="11">
      <t>カリカエサイ</t>
    </rPh>
    <rPh sb="12" eb="14">
      <t>ザイゲン</t>
    </rPh>
    <rPh sb="18" eb="20">
      <t>ショウカン</t>
    </rPh>
    <rPh sb="20" eb="21">
      <t>ガク</t>
    </rPh>
    <phoneticPr fontId="2"/>
  </si>
  <si>
    <t>都市計画事業関連
公営企業債償還
に充てる繰出金</t>
    <rPh sb="0" eb="2">
      <t>トシ</t>
    </rPh>
    <rPh sb="2" eb="4">
      <t>ケイカク</t>
    </rPh>
    <rPh sb="4" eb="6">
      <t>ジギョウ</t>
    </rPh>
    <rPh sb="6" eb="8">
      <t>カンレン</t>
    </rPh>
    <rPh sb="9" eb="11">
      <t>コウエイ</t>
    </rPh>
    <rPh sb="11" eb="13">
      <t>キギョウ</t>
    </rPh>
    <rPh sb="13" eb="14">
      <t>サイ</t>
    </rPh>
    <rPh sb="14" eb="16">
      <t>ショウカン</t>
    </rPh>
    <rPh sb="18" eb="19">
      <t>ア</t>
    </rPh>
    <rPh sb="21" eb="24">
      <t>クリダシキン</t>
    </rPh>
    <phoneticPr fontId="2"/>
  </si>
  <si>
    <t>(地方債の元利償還金＋準元利償還金)－(特定財源＋元利償還金・準元利償還金に係る基準財政需要額算入額)</t>
    <rPh sb="1" eb="4">
      <t>チホウサイ</t>
    </rPh>
    <rPh sb="5" eb="7">
      <t>ガンリ</t>
    </rPh>
    <rPh sb="7" eb="10">
      <t>ショウカンキン</t>
    </rPh>
    <rPh sb="11" eb="12">
      <t>ジュン</t>
    </rPh>
    <rPh sb="12" eb="14">
      <t>ガンリ</t>
    </rPh>
    <rPh sb="14" eb="17">
      <t>ショウカンキン</t>
    </rPh>
    <phoneticPr fontId="2"/>
  </si>
  <si>
    <t>標準財政規模－（元利償還金・準元利償還金に係る基準財政需要額算入額）</t>
    <rPh sb="0" eb="2">
      <t>ヒョウジュン</t>
    </rPh>
    <rPh sb="2" eb="4">
      <t>ザイセイ</t>
    </rPh>
    <rPh sb="4" eb="6">
      <t>キボ</t>
    </rPh>
    <phoneticPr fontId="2"/>
  </si>
  <si>
    <t>後期高齢者医療</t>
    <rPh sb="0" eb="2">
      <t>コウキ</t>
    </rPh>
    <rPh sb="2" eb="5">
      <t>コウレイシャ</t>
    </rPh>
    <rPh sb="5" eb="7">
      <t>イリョウ</t>
    </rPh>
    <phoneticPr fontId="2"/>
  </si>
  <si>
    <t>土地収入見込額</t>
    <rPh sb="0" eb="2">
      <t>トチ</t>
    </rPh>
    <rPh sb="2" eb="4">
      <t>シュウニュウ</t>
    </rPh>
    <rPh sb="4" eb="6">
      <t>ミコミ</t>
    </rPh>
    <rPh sb="6" eb="7">
      <t>ガク</t>
    </rPh>
    <phoneticPr fontId="2"/>
  </si>
  <si>
    <t>法適用事業　＝　Ａ ＋ Ｂ － Ｃ （ － Ｄ ）</t>
    <rPh sb="0" eb="1">
      <t>ホウ</t>
    </rPh>
    <rPh sb="1" eb="3">
      <t>テキヨウ</t>
    </rPh>
    <rPh sb="3" eb="5">
      <t>ジギョウ</t>
    </rPh>
    <phoneticPr fontId="2"/>
  </si>
  <si>
    <t>法非適用事業　＝　Ａ ＋ Ｂ － Ｃ － Ｅ （ － Ｄ ）</t>
    <rPh sb="0" eb="1">
      <t>ホウ</t>
    </rPh>
    <rPh sb="1" eb="2">
      <t>ヒ</t>
    </rPh>
    <rPh sb="2" eb="4">
      <t>テキヨウ</t>
    </rPh>
    <rPh sb="4" eb="6">
      <t>ジギョウ</t>
    </rPh>
    <phoneticPr fontId="2"/>
  </si>
  <si>
    <t>土地収入見込額（宅地造成事業のみ)</t>
    <rPh sb="0" eb="2">
      <t>トチ</t>
    </rPh>
    <rPh sb="2" eb="4">
      <t>シュウニュウ</t>
    </rPh>
    <rPh sb="4" eb="6">
      <t>ミコミ</t>
    </rPh>
    <rPh sb="6" eb="7">
      <t>ガク</t>
    </rPh>
    <rPh sb="8" eb="10">
      <t>タクチ</t>
    </rPh>
    <rPh sb="10" eb="12">
      <t>ゾウセイ</t>
    </rPh>
    <rPh sb="12" eb="14">
      <t>ジギョウ</t>
    </rPh>
    <phoneticPr fontId="2"/>
  </si>
  <si>
    <t>うち要返還額</t>
    <rPh sb="2" eb="3">
      <t>ヨウ</t>
    </rPh>
    <rPh sb="3" eb="5">
      <t>ヘンカン</t>
    </rPh>
    <rPh sb="5" eb="6">
      <t>ガク</t>
    </rPh>
    <phoneticPr fontId="2"/>
  </si>
  <si>
    <t>　①　法適用事業　＝　Ａ ＋ Ｂ － Ｃ （ － Ｄ ）</t>
    <rPh sb="3" eb="4">
      <t>ホウ</t>
    </rPh>
    <rPh sb="4" eb="6">
      <t>テキヨウ</t>
    </rPh>
    <rPh sb="6" eb="8">
      <t>ジギョウ</t>
    </rPh>
    <phoneticPr fontId="2"/>
  </si>
  <si>
    <t>　②　法非適用事業　＝　Ａ ＋ Ｂ － Ｃ － Ｅ （ － Ｄ ）</t>
    <rPh sb="3" eb="4">
      <t>ホウ</t>
    </rPh>
    <rPh sb="4" eb="5">
      <t>ヒ</t>
    </rPh>
    <rPh sb="5" eb="7">
      <t>テキヨウ</t>
    </rPh>
    <rPh sb="7" eb="9">
      <t>ジギョウ</t>
    </rPh>
    <phoneticPr fontId="2"/>
  </si>
  <si>
    <t>19年度</t>
    <rPh sb="2" eb="4">
      <t>ネンド</t>
    </rPh>
    <phoneticPr fontId="2"/>
  </si>
  <si>
    <t>増減</t>
    <rPh sb="0" eb="2">
      <t>ゾウゲン</t>
    </rPh>
    <phoneticPr fontId="2"/>
  </si>
  <si>
    <t>祖父江霊園</t>
    <rPh sb="0" eb="3">
      <t>ソブエ</t>
    </rPh>
    <rPh sb="3" eb="5">
      <t>レイエン</t>
    </rPh>
    <phoneticPr fontId="2"/>
  </si>
  <si>
    <t>実　質　赤　字　額</t>
    <rPh sb="0" eb="1">
      <t>ジツ</t>
    </rPh>
    <rPh sb="2" eb="3">
      <t>シツ</t>
    </rPh>
    <rPh sb="4" eb="5">
      <t>アカ</t>
    </rPh>
    <rPh sb="6" eb="7">
      <t>ジ</t>
    </rPh>
    <rPh sb="8" eb="9">
      <t>ガク</t>
    </rPh>
    <phoneticPr fontId="2"/>
  </si>
  <si>
    <t>連　結　実　質　赤　字　額</t>
    <rPh sb="0" eb="1">
      <t>レン</t>
    </rPh>
    <rPh sb="2" eb="3">
      <t>ムスブ</t>
    </rPh>
    <rPh sb="4" eb="5">
      <t>ジツ</t>
    </rPh>
    <rPh sb="6" eb="7">
      <t>シツ</t>
    </rPh>
    <rPh sb="8" eb="9">
      <t>アカ</t>
    </rPh>
    <rPh sb="10" eb="11">
      <t>ジ</t>
    </rPh>
    <rPh sb="12" eb="13">
      <t>ガク</t>
    </rPh>
    <phoneticPr fontId="2"/>
  </si>
  <si>
    <t>国保</t>
    <rPh sb="0" eb="2">
      <t>コクホ</t>
    </rPh>
    <phoneticPr fontId="2"/>
  </si>
  <si>
    <t>老人保健</t>
    <rPh sb="0" eb="2">
      <t>ロウジン</t>
    </rPh>
    <rPh sb="2" eb="4">
      <t>ホケン</t>
    </rPh>
    <phoneticPr fontId="2"/>
  </si>
  <si>
    <t>介護保険</t>
    <rPh sb="0" eb="2">
      <t>カイゴ</t>
    </rPh>
    <rPh sb="2" eb="4">
      <t>ホケン</t>
    </rPh>
    <phoneticPr fontId="2"/>
  </si>
  <si>
    <t>後期高齢者</t>
    <rPh sb="0" eb="2">
      <t>コウキ</t>
    </rPh>
    <rPh sb="2" eb="5">
      <t>コウレイシャ</t>
    </rPh>
    <phoneticPr fontId="2"/>
  </si>
  <si>
    <t>公共下水道</t>
    <rPh sb="0" eb="2">
      <t>コウキョウ</t>
    </rPh>
    <rPh sb="2" eb="4">
      <t>ゲスイ</t>
    </rPh>
    <rPh sb="4" eb="5">
      <t>ミチ</t>
    </rPh>
    <phoneticPr fontId="2"/>
  </si>
  <si>
    <t>稲沢西</t>
    <rPh sb="0" eb="2">
      <t>イナザワ</t>
    </rPh>
    <rPh sb="2" eb="3">
      <t>ニシ</t>
    </rPh>
    <phoneticPr fontId="2"/>
  </si>
  <si>
    <t>下津陸田</t>
    <rPh sb="0" eb="2">
      <t>オリヅ</t>
    </rPh>
    <rPh sb="2" eb="4">
      <t>クガタ</t>
    </rPh>
    <phoneticPr fontId="2"/>
  </si>
  <si>
    <t>18年度</t>
    <rPh sb="2" eb="4">
      <t>ネンド</t>
    </rPh>
    <phoneticPr fontId="2"/>
  </si>
  <si>
    <t>準元利
償還金</t>
    <rPh sb="0" eb="1">
      <t>ジュン</t>
    </rPh>
    <rPh sb="1" eb="3">
      <t>ガンリ</t>
    </rPh>
    <rPh sb="4" eb="7">
      <t>ショウカンキン</t>
    </rPh>
    <phoneticPr fontId="2"/>
  </si>
  <si>
    <t>基準財政需
要額算入額</t>
    <rPh sb="0" eb="2">
      <t>キジュン</t>
    </rPh>
    <rPh sb="2" eb="4">
      <t>ザイセイ</t>
    </rPh>
    <rPh sb="4" eb="5">
      <t>モトメ</t>
    </rPh>
    <rPh sb="6" eb="7">
      <t>ヨウ</t>
    </rPh>
    <rPh sb="7" eb="8">
      <t>ガク</t>
    </rPh>
    <rPh sb="8" eb="10">
      <t>サンニュウ</t>
    </rPh>
    <rPh sb="10" eb="11">
      <t>ガク</t>
    </rPh>
    <phoneticPr fontId="2"/>
  </si>
  <si>
    <t>実質公債費
比率(単年)</t>
    <rPh sb="0" eb="2">
      <t>ジッシツ</t>
    </rPh>
    <rPh sb="2" eb="5">
      <t>コウサイヒ</t>
    </rPh>
    <rPh sb="6" eb="8">
      <t>ヒリツ</t>
    </rPh>
    <rPh sb="9" eb="10">
      <t>タン</t>
    </rPh>
    <rPh sb="10" eb="11">
      <t>トシ</t>
    </rPh>
    <phoneticPr fontId="2"/>
  </si>
  <si>
    <t>実質公債
費比率</t>
    <rPh sb="0" eb="2">
      <t>ジッシツ</t>
    </rPh>
    <rPh sb="2" eb="4">
      <t>コウサイ</t>
    </rPh>
    <rPh sb="5" eb="6">
      <t>ヒ</t>
    </rPh>
    <rPh sb="6" eb="8">
      <t>ヒリツ</t>
    </rPh>
    <phoneticPr fontId="2"/>
  </si>
  <si>
    <t>標準財政
規　　模</t>
    <rPh sb="0" eb="2">
      <t>ヒョウジュン</t>
    </rPh>
    <rPh sb="2" eb="4">
      <t>ザイセイ</t>
    </rPh>
    <rPh sb="5" eb="6">
      <t>キ</t>
    </rPh>
    <rPh sb="8" eb="9">
      <t>ボ</t>
    </rPh>
    <phoneticPr fontId="2"/>
  </si>
  <si>
    <t>分　子</t>
    <rPh sb="0" eb="1">
      <t>ブン</t>
    </rPh>
    <rPh sb="2" eb="3">
      <t>コ</t>
    </rPh>
    <phoneticPr fontId="2"/>
  </si>
  <si>
    <t>分　母</t>
    <rPh sb="0" eb="1">
      <t>ブン</t>
    </rPh>
    <rPh sb="2" eb="3">
      <t>ハハ</t>
    </rPh>
    <phoneticPr fontId="2"/>
  </si>
  <si>
    <t>将　　来
負担比率</t>
    <rPh sb="0" eb="1">
      <t>ショウ</t>
    </rPh>
    <rPh sb="3" eb="4">
      <t>キ</t>
    </rPh>
    <rPh sb="5" eb="7">
      <t>フタン</t>
    </rPh>
    <rPh sb="7" eb="9">
      <t>ヒリツ</t>
    </rPh>
    <phoneticPr fontId="2"/>
  </si>
  <si>
    <t>地方債残高</t>
    <rPh sb="0" eb="3">
      <t>チホウサイ</t>
    </rPh>
    <rPh sb="3" eb="5">
      <t>ザンダカ</t>
    </rPh>
    <phoneticPr fontId="2"/>
  </si>
  <si>
    <t>債　　務
負担行為</t>
    <rPh sb="0" eb="1">
      <t>サイ</t>
    </rPh>
    <rPh sb="3" eb="4">
      <t>ツトム</t>
    </rPh>
    <rPh sb="5" eb="7">
      <t>フタン</t>
    </rPh>
    <rPh sb="7" eb="9">
      <t>コウイ</t>
    </rPh>
    <phoneticPr fontId="2"/>
  </si>
  <si>
    <t>公営企業債
繰入見込</t>
    <rPh sb="0" eb="2">
      <t>コウエイ</t>
    </rPh>
    <rPh sb="2" eb="4">
      <t>キギョウ</t>
    </rPh>
    <rPh sb="4" eb="5">
      <t>サイ</t>
    </rPh>
    <rPh sb="6" eb="8">
      <t>クリイレ</t>
    </rPh>
    <rPh sb="8" eb="10">
      <t>ミコミ</t>
    </rPh>
    <phoneticPr fontId="2"/>
  </si>
  <si>
    <t>組合等負担</t>
    <rPh sb="0" eb="3">
      <t>クミアイトウ</t>
    </rPh>
    <rPh sb="3" eb="5">
      <t>フタン</t>
    </rPh>
    <phoneticPr fontId="2"/>
  </si>
  <si>
    <t>退職手当</t>
    <rPh sb="0" eb="2">
      <t>タイショク</t>
    </rPh>
    <rPh sb="2" eb="4">
      <t>テアテ</t>
    </rPh>
    <phoneticPr fontId="2"/>
  </si>
  <si>
    <t>設立法人</t>
    <rPh sb="0" eb="2">
      <t>セツリツ</t>
    </rPh>
    <rPh sb="2" eb="4">
      <t>ホウジン</t>
    </rPh>
    <phoneticPr fontId="2"/>
  </si>
  <si>
    <t>連結赤字</t>
    <rPh sb="0" eb="2">
      <t>レンケツ</t>
    </rPh>
    <rPh sb="2" eb="4">
      <t>アカジ</t>
    </rPh>
    <phoneticPr fontId="2"/>
  </si>
  <si>
    <t>組合等
連結赤字</t>
    <rPh sb="0" eb="3">
      <t>クミアイトウ</t>
    </rPh>
    <rPh sb="4" eb="6">
      <t>レンケツ</t>
    </rPh>
    <rPh sb="6" eb="8">
      <t>アカジ</t>
    </rPh>
    <phoneticPr fontId="2"/>
  </si>
  <si>
    <t>コミプラ</t>
    <phoneticPr fontId="2"/>
  </si>
  <si>
    <t>（債務負担行為に基づく支出予定額）</t>
    <rPh sb="1" eb="3">
      <t>サイム</t>
    </rPh>
    <rPh sb="3" eb="5">
      <t>フタン</t>
    </rPh>
    <rPh sb="5" eb="7">
      <t>コウイ</t>
    </rPh>
    <rPh sb="8" eb="9">
      <t>モト</t>
    </rPh>
    <rPh sb="11" eb="13">
      <t>シシュツ</t>
    </rPh>
    <rPh sb="13" eb="15">
      <t>ヨテイ</t>
    </rPh>
    <rPh sb="15" eb="16">
      <t>ガク</t>
    </rPh>
    <phoneticPr fontId="2"/>
  </si>
  <si>
    <t>尾張西部
土地改良</t>
    <rPh sb="0" eb="2">
      <t>オワリ</t>
    </rPh>
    <rPh sb="2" eb="4">
      <t>セイブ</t>
    </rPh>
    <rPh sb="5" eb="7">
      <t>トチ</t>
    </rPh>
    <rPh sb="7" eb="9">
      <t>カイリョウ</t>
    </rPh>
    <phoneticPr fontId="2"/>
  </si>
  <si>
    <t>農林業資金</t>
    <rPh sb="0" eb="3">
      <t>ノウリンギョウ</t>
    </rPh>
    <rPh sb="3" eb="5">
      <t>シキン</t>
    </rPh>
    <phoneticPr fontId="2"/>
  </si>
  <si>
    <t>(社)祖父江
みずみ会</t>
    <rPh sb="1" eb="2">
      <t>シャ</t>
    </rPh>
    <rPh sb="3" eb="6">
      <t>ソブエ</t>
    </rPh>
    <rPh sb="10" eb="11">
      <t>カイ</t>
    </rPh>
    <phoneticPr fontId="2"/>
  </si>
  <si>
    <t>(社)祖父江
愛照会</t>
    <rPh sb="1" eb="2">
      <t>シャ</t>
    </rPh>
    <rPh sb="3" eb="6">
      <t>ソブエ</t>
    </rPh>
    <rPh sb="7" eb="8">
      <t>アイ</t>
    </rPh>
    <rPh sb="8" eb="9">
      <t>テラス</t>
    </rPh>
    <rPh sb="9" eb="10">
      <t>カイ</t>
    </rPh>
    <phoneticPr fontId="2"/>
  </si>
  <si>
    <t>尾西病院</t>
    <rPh sb="0" eb="2">
      <t>ビサイ</t>
    </rPh>
    <rPh sb="2" eb="4">
      <t>ビョウイン</t>
    </rPh>
    <phoneticPr fontId="2"/>
  </si>
  <si>
    <t>（公営企業債等繰入見込額）</t>
    <rPh sb="1" eb="3">
      <t>コウエイ</t>
    </rPh>
    <rPh sb="3" eb="5">
      <t>キギョウ</t>
    </rPh>
    <rPh sb="5" eb="6">
      <t>サイ</t>
    </rPh>
    <rPh sb="6" eb="7">
      <t>トウ</t>
    </rPh>
    <rPh sb="7" eb="9">
      <t>クリイレ</t>
    </rPh>
    <rPh sb="9" eb="11">
      <t>ミコミ</t>
    </rPh>
    <rPh sb="11" eb="12">
      <t>ガク</t>
    </rPh>
    <phoneticPr fontId="2"/>
  </si>
  <si>
    <t>公共下水道</t>
    <rPh sb="0" eb="2">
      <t>コウキョウ</t>
    </rPh>
    <rPh sb="2" eb="5">
      <t>ゲスイドウ</t>
    </rPh>
    <phoneticPr fontId="2"/>
  </si>
  <si>
    <t>地方債残高等に
係る基準財政需
要額算入見込額</t>
    <rPh sb="0" eb="3">
      <t>チホウサイ</t>
    </rPh>
    <rPh sb="3" eb="5">
      <t>ザンダカ</t>
    </rPh>
    <rPh sb="5" eb="6">
      <t>トウ</t>
    </rPh>
    <rPh sb="8" eb="9">
      <t>カカ</t>
    </rPh>
    <rPh sb="10" eb="12">
      <t>キジュン</t>
    </rPh>
    <rPh sb="12" eb="14">
      <t>ザイセイ</t>
    </rPh>
    <rPh sb="14" eb="15">
      <t>モトメ</t>
    </rPh>
    <rPh sb="16" eb="17">
      <t>ヨウ</t>
    </rPh>
    <rPh sb="17" eb="18">
      <t>ガク</t>
    </rPh>
    <rPh sb="18" eb="20">
      <t>サンニュウ</t>
    </rPh>
    <rPh sb="20" eb="22">
      <t>ミコミ</t>
    </rPh>
    <rPh sb="22" eb="23">
      <t>ガク</t>
    </rPh>
    <phoneticPr fontId="2"/>
  </si>
  <si>
    <t>充当可能
基 金 額</t>
    <rPh sb="0" eb="2">
      <t>ジュウトウ</t>
    </rPh>
    <rPh sb="2" eb="4">
      <t>カノウ</t>
    </rPh>
    <rPh sb="5" eb="6">
      <t>モト</t>
    </rPh>
    <rPh sb="7" eb="8">
      <t>キン</t>
    </rPh>
    <rPh sb="9" eb="10">
      <t>ガク</t>
    </rPh>
    <phoneticPr fontId="2"/>
  </si>
  <si>
    <t>地方債残高等に係る基準財政需要額算入見込額</t>
    <rPh sb="0" eb="3">
      <t>チホウサイ</t>
    </rPh>
    <rPh sb="3" eb="6">
      <t>ザンダカナド</t>
    </rPh>
    <rPh sb="7" eb="8">
      <t>カカワ</t>
    </rPh>
    <rPh sb="9" eb="11">
      <t>キジュン</t>
    </rPh>
    <rPh sb="11" eb="13">
      <t>ザイセイ</t>
    </rPh>
    <rPh sb="13" eb="15">
      <t>ジュヨウ</t>
    </rPh>
    <rPh sb="15" eb="16">
      <t>ガク</t>
    </rPh>
    <rPh sb="16" eb="18">
      <t>サンニュウ</t>
    </rPh>
    <rPh sb="18" eb="20">
      <t>ミコミ</t>
    </rPh>
    <rPh sb="20" eb="21">
      <t>ガク</t>
    </rPh>
    <phoneticPr fontId="2"/>
  </si>
  <si>
    <t>道路橋りょう費</t>
  </si>
  <si>
    <t>75％算入額</t>
    <rPh sb="3" eb="5">
      <t>サンニュウ</t>
    </rPh>
    <rPh sb="5" eb="6">
      <t>ガク</t>
    </rPh>
    <phoneticPr fontId="2"/>
  </si>
  <si>
    <t>100％算入額</t>
    <rPh sb="4" eb="6">
      <t>サンニュウ</t>
    </rPh>
    <rPh sb="6" eb="7">
      <t>ガク</t>
    </rPh>
    <phoneticPr fontId="2"/>
  </si>
  <si>
    <t>普通交付税</t>
    <rPh sb="0" eb="2">
      <t>フツウ</t>
    </rPh>
    <rPh sb="2" eb="5">
      <t>コウフゼイ</t>
    </rPh>
    <phoneticPr fontId="2"/>
  </si>
  <si>
    <t>元利・準元利償還金に係る基準財政需要額算入見込額</t>
    <rPh sb="0" eb="2">
      <t>ガンリ</t>
    </rPh>
    <rPh sb="3" eb="4">
      <t>ジュン</t>
    </rPh>
    <rPh sb="4" eb="6">
      <t>ガンリ</t>
    </rPh>
    <rPh sb="6" eb="9">
      <t>ショウカンキン</t>
    </rPh>
    <rPh sb="10" eb="11">
      <t>カカワ</t>
    </rPh>
    <rPh sb="12" eb="14">
      <t>キジュン</t>
    </rPh>
    <rPh sb="14" eb="16">
      <t>ザイセイ</t>
    </rPh>
    <rPh sb="16" eb="18">
      <t>ジュヨウ</t>
    </rPh>
    <rPh sb="18" eb="19">
      <t>ガク</t>
    </rPh>
    <rPh sb="19" eb="21">
      <t>サンニュウ</t>
    </rPh>
    <rPh sb="21" eb="23">
      <t>ミコミ</t>
    </rPh>
    <rPh sb="23" eb="24">
      <t>ガク</t>
    </rPh>
    <phoneticPr fontId="2"/>
  </si>
  <si>
    <t>事業費補正</t>
    <rPh sb="0" eb="3">
      <t>ジギョウヒ</t>
    </rPh>
    <rPh sb="3" eb="5">
      <t>ホセイ</t>
    </rPh>
    <phoneticPr fontId="2"/>
  </si>
  <si>
    <t>密度補正</t>
    <rPh sb="0" eb="2">
      <t>ミツド</t>
    </rPh>
    <rPh sb="2" eb="4">
      <t>ホセイ</t>
    </rPh>
    <phoneticPr fontId="2"/>
  </si>
  <si>
    <t>健全化判断比率　前年度比較</t>
    <rPh sb="0" eb="3">
      <t>ケンゼンカ</t>
    </rPh>
    <rPh sb="3" eb="5">
      <t>ハンダン</t>
    </rPh>
    <rPh sb="5" eb="7">
      <t>ヒリツ</t>
    </rPh>
    <rPh sb="8" eb="11">
      <t>ゼンネンド</t>
    </rPh>
    <rPh sb="11" eb="13">
      <t>ヒカク</t>
    </rPh>
    <phoneticPr fontId="2"/>
  </si>
  <si>
    <t>標準財政規模－元利償還金・準元利償還金に係る基準財政需要額算入額</t>
    <rPh sb="0" eb="2">
      <t>ヒョウジュン</t>
    </rPh>
    <rPh sb="2" eb="4">
      <t>ザイセイ</t>
    </rPh>
    <rPh sb="4" eb="6">
      <t>キボ</t>
    </rPh>
    <rPh sb="7" eb="9">
      <t>ガンリ</t>
    </rPh>
    <rPh sb="9" eb="12">
      <t>ショウカンキン</t>
    </rPh>
    <rPh sb="13" eb="14">
      <t>ジュン</t>
    </rPh>
    <rPh sb="14" eb="16">
      <t>ガンリ</t>
    </rPh>
    <rPh sb="16" eb="19">
      <t>ショウカンキン</t>
    </rPh>
    <rPh sb="20" eb="21">
      <t>カカ</t>
    </rPh>
    <phoneticPr fontId="2"/>
  </si>
  <si>
    <t>増減要因</t>
    <rPh sb="0" eb="2">
      <t>ゾウゲン</t>
    </rPh>
    <rPh sb="2" eb="4">
      <t>ヨウイン</t>
    </rPh>
    <phoneticPr fontId="2"/>
  </si>
  <si>
    <t>水道事業</t>
  </si>
  <si>
    <t>依頼土地の
買い戻し</t>
    <rPh sb="0" eb="2">
      <t>イライ</t>
    </rPh>
    <rPh sb="2" eb="4">
      <t>トチ</t>
    </rPh>
    <rPh sb="6" eb="7">
      <t>カ</t>
    </rPh>
    <rPh sb="8" eb="9">
      <t>モド</t>
    </rPh>
    <phoneticPr fontId="2"/>
  </si>
  <si>
    <t>社会福祉法人の施設建設費に係るもの</t>
    <rPh sb="0" eb="2">
      <t>シャカイ</t>
    </rPh>
    <rPh sb="2" eb="4">
      <t>フクシ</t>
    </rPh>
    <rPh sb="4" eb="6">
      <t>ホウジン</t>
    </rPh>
    <rPh sb="7" eb="9">
      <t>シセツ</t>
    </rPh>
    <rPh sb="9" eb="12">
      <t>ケンセツヒ</t>
    </rPh>
    <rPh sb="13" eb="14">
      <t>カカ</t>
    </rPh>
    <phoneticPr fontId="2"/>
  </si>
  <si>
    <t>経常収益がある場合はⅠ(一般会計等の負担割合を前年度末地方債残高に乗じた額)の額、</t>
    <rPh sb="0" eb="2">
      <t>ケイジョウ</t>
    </rPh>
    <rPh sb="2" eb="4">
      <t>シュウエキ</t>
    </rPh>
    <rPh sb="7" eb="9">
      <t>バアイ</t>
    </rPh>
    <rPh sb="39" eb="40">
      <t>ガク</t>
    </rPh>
    <phoneticPr fontId="2"/>
  </si>
  <si>
    <t>地方公共団体の財政の健全化に関する法律施行令</t>
    <rPh sb="19" eb="22">
      <t>シコウレイ</t>
    </rPh>
    <phoneticPr fontId="2"/>
  </si>
  <si>
    <t>公営企業の地方債の償還財源に充てたと認められる繰入金</t>
    <rPh sb="0" eb="2">
      <t>コウエイ</t>
    </rPh>
    <rPh sb="2" eb="4">
      <t>キギョウ</t>
    </rPh>
    <rPh sb="5" eb="8">
      <t>チホウサイ</t>
    </rPh>
    <rPh sb="9" eb="11">
      <t>ショウカン</t>
    </rPh>
    <rPh sb="11" eb="13">
      <t>ザイゲン</t>
    </rPh>
    <rPh sb="14" eb="15">
      <t>ア</t>
    </rPh>
    <rPh sb="18" eb="19">
      <t>ミト</t>
    </rPh>
    <rPh sb="23" eb="25">
      <t>クリイレ</t>
    </rPh>
    <rPh sb="25" eb="26">
      <t>キン</t>
    </rPh>
    <phoneticPr fontId="2"/>
  </si>
  <si>
    <t>国営土地改良事業</t>
    <rPh sb="0" eb="2">
      <t>コクエイ</t>
    </rPh>
    <rPh sb="2" eb="4">
      <t>トチ</t>
    </rPh>
    <rPh sb="4" eb="6">
      <t>カイリョウ</t>
    </rPh>
    <rPh sb="6" eb="8">
      <t>ジギョウ</t>
    </rPh>
    <phoneticPr fontId="2"/>
  </si>
  <si>
    <t>借入金償還補助</t>
    <rPh sb="0" eb="2">
      <t>カリイレ</t>
    </rPh>
    <rPh sb="2" eb="3">
      <t>キン</t>
    </rPh>
    <rPh sb="3" eb="5">
      <t>ショウカン</t>
    </rPh>
    <rPh sb="5" eb="7">
      <t>ホジョ</t>
    </rPh>
    <phoneticPr fontId="2"/>
  </si>
  <si>
    <t>都市計画事業債
元 金 償 還 金</t>
    <rPh sb="0" eb="2">
      <t>トシ</t>
    </rPh>
    <rPh sb="2" eb="4">
      <t>ケイカク</t>
    </rPh>
    <rPh sb="4" eb="6">
      <t>ジギョウ</t>
    </rPh>
    <rPh sb="6" eb="7">
      <t>サイ</t>
    </rPh>
    <rPh sb="8" eb="9">
      <t>モト</t>
    </rPh>
    <rPh sb="10" eb="11">
      <t>キン</t>
    </rPh>
    <rPh sb="12" eb="13">
      <t>ショウ</t>
    </rPh>
    <rPh sb="14" eb="15">
      <t>カン</t>
    </rPh>
    <rPh sb="16" eb="17">
      <t>カネ</t>
    </rPh>
    <phoneticPr fontId="2"/>
  </si>
  <si>
    <t>充　当　率</t>
    <rPh sb="0" eb="1">
      <t>ミツル</t>
    </rPh>
    <rPh sb="2" eb="3">
      <t>トウ</t>
    </rPh>
    <rPh sb="4" eb="5">
      <t>リツ</t>
    </rPh>
    <phoneticPr fontId="2"/>
  </si>
  <si>
    <t>特　定　財　源</t>
    <rPh sb="0" eb="1">
      <t>トク</t>
    </rPh>
    <rPh sb="2" eb="3">
      <t>サダム</t>
    </rPh>
    <rPh sb="4" eb="5">
      <t>ザイ</t>
    </rPh>
    <rPh sb="6" eb="7">
      <t>ミナモト</t>
    </rPh>
    <phoneticPr fontId="2"/>
  </si>
  <si>
    <t>都市計画事業債
の　現　在　高</t>
    <rPh sb="0" eb="2">
      <t>トシ</t>
    </rPh>
    <rPh sb="2" eb="4">
      <t>ケイカク</t>
    </rPh>
    <rPh sb="4" eb="7">
      <t>ジギョウサイ</t>
    </rPh>
    <rPh sb="10" eb="11">
      <t>ウツツ</t>
    </rPh>
    <rPh sb="12" eb="13">
      <t>ザイ</t>
    </rPh>
    <rPh sb="14" eb="15">
      <t>コウ</t>
    </rPh>
    <phoneticPr fontId="2"/>
  </si>
  <si>
    <t>土地開発公社
貸付金償還額</t>
    <rPh sb="0" eb="2">
      <t>トチ</t>
    </rPh>
    <rPh sb="2" eb="4">
      <t>カイハツ</t>
    </rPh>
    <rPh sb="4" eb="6">
      <t>コウシャ</t>
    </rPh>
    <rPh sb="7" eb="9">
      <t>カシツケ</t>
    </rPh>
    <rPh sb="9" eb="10">
      <t>キン</t>
    </rPh>
    <rPh sb="10" eb="12">
      <t>ショウカン</t>
    </rPh>
    <rPh sb="12" eb="13">
      <t>ガク</t>
    </rPh>
    <phoneticPr fontId="2"/>
  </si>
  <si>
    <t>地方公共団体の財政の健全化に関する法律</t>
    <phoneticPr fontId="2"/>
  </si>
  <si>
    <t>実質赤字比率</t>
    <phoneticPr fontId="2"/>
  </si>
  <si>
    <t>連結実質赤字比率</t>
    <phoneticPr fontId="2"/>
  </si>
  <si>
    <t>実質公債費比率</t>
    <phoneticPr fontId="2"/>
  </si>
  <si>
    <t>将来負担比率</t>
    <phoneticPr fontId="2"/>
  </si>
  <si>
    <t>(単位：千円、％)</t>
    <phoneticPr fontId="2"/>
  </si>
  <si>
    <t>　将来負担額－（充当可能基金額＋特定財源見込額
　　　　　　　　　　 ＋地方債現在高等に係る基準財政需要額算入見込額）</t>
    <rPh sb="1" eb="3">
      <t>ショウライ</t>
    </rPh>
    <rPh sb="3" eb="5">
      <t>フタン</t>
    </rPh>
    <rPh sb="5" eb="6">
      <t>ガク</t>
    </rPh>
    <rPh sb="8" eb="10">
      <t>ジュウトウ</t>
    </rPh>
    <rPh sb="10" eb="12">
      <t>カノウ</t>
    </rPh>
    <rPh sb="12" eb="14">
      <t>キキン</t>
    </rPh>
    <rPh sb="14" eb="15">
      <t>ガク</t>
    </rPh>
    <rPh sb="16" eb="18">
      <t>トクテイ</t>
    </rPh>
    <rPh sb="18" eb="20">
      <t>ザイゲン</t>
    </rPh>
    <rPh sb="20" eb="22">
      <t>ミコミ</t>
    </rPh>
    <rPh sb="22" eb="23">
      <t>ガク</t>
    </rPh>
    <rPh sb="36" eb="39">
      <t>チホウサイ</t>
    </rPh>
    <rPh sb="39" eb="42">
      <t>ゲンザイダカ</t>
    </rPh>
    <rPh sb="42" eb="43">
      <t>トウ</t>
    </rPh>
    <rPh sb="44" eb="45">
      <t>カカ</t>
    </rPh>
    <rPh sb="46" eb="48">
      <t>キジュン</t>
    </rPh>
    <rPh sb="48" eb="50">
      <t>ザイセイ</t>
    </rPh>
    <rPh sb="50" eb="52">
      <t>ジュヨウ</t>
    </rPh>
    <rPh sb="52" eb="53">
      <t>ガク</t>
    </rPh>
    <rPh sb="53" eb="55">
      <t>サンニュウ</t>
    </rPh>
    <rPh sb="55" eb="57">
      <t>ミコミ</t>
    </rPh>
    <rPh sb="57" eb="58">
      <t>ガク</t>
    </rPh>
    <phoneticPr fontId="2"/>
  </si>
  <si>
    <t>一般会計等が負担する元利償還金及び準元利償還金の標準財政規模に対する比率の３か年平均</t>
    <rPh sb="0" eb="2">
      <t>イッパン</t>
    </rPh>
    <rPh sb="2" eb="4">
      <t>カイケイ</t>
    </rPh>
    <rPh sb="4" eb="5">
      <t>トウ</t>
    </rPh>
    <rPh sb="6" eb="8">
      <t>フタン</t>
    </rPh>
    <rPh sb="10" eb="12">
      <t>ガンリ</t>
    </rPh>
    <rPh sb="12" eb="15">
      <t>ショウカンキン</t>
    </rPh>
    <rPh sb="15" eb="16">
      <t>オヨ</t>
    </rPh>
    <rPh sb="17" eb="18">
      <t>ジュン</t>
    </rPh>
    <rPh sb="18" eb="20">
      <t>ガンリ</t>
    </rPh>
    <rPh sb="20" eb="23">
      <t>ショウカンキン</t>
    </rPh>
    <rPh sb="24" eb="26">
      <t>ヒョウジュン</t>
    </rPh>
    <rPh sb="26" eb="28">
      <t>ザイセイ</t>
    </rPh>
    <rPh sb="28" eb="30">
      <t>キボ</t>
    </rPh>
    <rPh sb="31" eb="32">
      <t>タイ</t>
    </rPh>
    <rPh sb="34" eb="36">
      <t>ヒリツ</t>
    </rPh>
    <rPh sb="39" eb="40">
      <t>ネン</t>
    </rPh>
    <rPh sb="40" eb="42">
      <t>ヘイキン</t>
    </rPh>
    <phoneticPr fontId="2"/>
  </si>
  <si>
    <t>A-①～C</t>
    <phoneticPr fontId="2"/>
  </si>
  <si>
    <t>公営住宅の賃貸料等</t>
    <rPh sb="0" eb="4">
      <t>コウエイジュウタク</t>
    </rPh>
    <rPh sb="5" eb="7">
      <t>チンタイ</t>
    </rPh>
    <rPh sb="7" eb="8">
      <t>リョウ</t>
    </rPh>
    <rPh sb="8" eb="9">
      <t>ナド</t>
    </rPh>
    <phoneticPr fontId="2"/>
  </si>
  <si>
    <t>①　実質赤字比率</t>
    <rPh sb="2" eb="4">
      <t>ジッシツ</t>
    </rPh>
    <rPh sb="4" eb="6">
      <t>アカジ</t>
    </rPh>
    <rPh sb="6" eb="8">
      <t>ヒリツ</t>
    </rPh>
    <phoneticPr fontId="2"/>
  </si>
  <si>
    <t>病  院  事  業</t>
    <rPh sb="0" eb="1">
      <t>ヤマイ</t>
    </rPh>
    <rPh sb="3" eb="4">
      <t>イン</t>
    </rPh>
    <rPh sb="6" eb="7">
      <t>コト</t>
    </rPh>
    <rPh sb="9" eb="10">
      <t>ギョウ</t>
    </rPh>
    <phoneticPr fontId="2"/>
  </si>
  <si>
    <t>水道事業</t>
    <phoneticPr fontId="2"/>
  </si>
  <si>
    <t>公共下水道事業</t>
    <phoneticPr fontId="2"/>
  </si>
  <si>
    <t>稲沢西土地
区画整理事業</t>
    <phoneticPr fontId="2"/>
  </si>
  <si>
    <t>実質公債費比率
(３か年平均)</t>
    <rPh sb="0" eb="2">
      <t>ジッシツ</t>
    </rPh>
    <rPh sb="2" eb="5">
      <t>コウサイヒ</t>
    </rPh>
    <rPh sb="5" eb="7">
      <t>ヒリツ</t>
    </rPh>
    <rPh sb="11" eb="12">
      <t>ネン</t>
    </rPh>
    <rPh sb="12" eb="14">
      <t>ヘイキン</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</si>
  <si>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</si>
  <si>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</si>
  <si>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</si>
  <si>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</si>
  <si>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</si>
  <si>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</si>
  <si>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</si>
  <si>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</si>
  <si>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I=(A～E)-(F～H)</t>
    <phoneticPr fontId="2"/>
  </si>
  <si>
    <t>(C～E-G)*H/(H+I)</t>
    <phoneticPr fontId="2"/>
  </si>
  <si>
    <t>④　</t>
    <phoneticPr fontId="2"/>
  </si>
  <si>
    <t>②　債務負担行為に基づく支出予定額　＝　地方財政法第５条（地方債の制限）に規定する経費で、前年度末において支出が確定している額</t>
    <rPh sb="20" eb="22">
      <t>チホウ</t>
    </rPh>
    <rPh sb="22" eb="24">
      <t>ザイセイ</t>
    </rPh>
    <rPh sb="24" eb="25">
      <t>ホウ</t>
    </rPh>
    <rPh sb="25" eb="26">
      <t>ダイ</t>
    </rPh>
    <rPh sb="27" eb="28">
      <t>ジョウ</t>
    </rPh>
    <rPh sb="29" eb="32">
      <t>チホウサイ</t>
    </rPh>
    <rPh sb="33" eb="35">
      <t>セイゲン</t>
    </rPh>
    <rPh sb="37" eb="39">
      <t>キテイ</t>
    </rPh>
    <rPh sb="41" eb="43">
      <t>ケイヒ</t>
    </rPh>
    <rPh sb="45" eb="48">
      <t>ゼンネンド</t>
    </rPh>
    <rPh sb="48" eb="49">
      <t>マツ</t>
    </rPh>
    <rPh sb="53" eb="55">
      <t>シシュツ</t>
    </rPh>
    <rPh sb="56" eb="58">
      <t>カクテイ</t>
    </rPh>
    <rPh sb="62" eb="63">
      <t>ガク</t>
    </rPh>
    <phoneticPr fontId="2"/>
  </si>
  <si>
    <t>事業にかかる特別会計</t>
    <phoneticPr fontId="2"/>
  </si>
  <si>
    <t>控除企業債等</t>
  </si>
  <si>
    <t>控除未払金等</t>
    <rPh sb="0" eb="2">
      <t>コウジョ</t>
    </rPh>
    <rPh sb="2" eb="3">
      <t>ミ</t>
    </rPh>
    <rPh sb="3" eb="4">
      <t>バライ</t>
    </rPh>
    <rPh sb="4" eb="5">
      <t>キン</t>
    </rPh>
    <rPh sb="5" eb="6">
      <t>ナド</t>
    </rPh>
    <phoneticPr fontId="3"/>
  </si>
  <si>
    <t>控除額</t>
    <rPh sb="0" eb="2">
      <t>コウジョ</t>
    </rPh>
    <rPh sb="2" eb="3">
      <t>ガク</t>
    </rPh>
    <phoneticPr fontId="3"/>
  </si>
  <si>
    <t>PFI建設事業費等</t>
  </si>
  <si>
    <t>小計</t>
    <rPh sb="0" eb="2">
      <t>ショウケイ</t>
    </rPh>
    <phoneticPr fontId="2"/>
  </si>
  <si>
    <t>算入地方債の現在高</t>
    <rPh sb="0" eb="2">
      <t>サンニュウ</t>
    </rPh>
    <rPh sb="2" eb="5">
      <t>チホウサイ</t>
    </rPh>
    <rPh sb="6" eb="9">
      <t>ゲンザイダカ</t>
    </rPh>
    <phoneticPr fontId="2"/>
  </si>
  <si>
    <t>①　</t>
    <phoneticPr fontId="2"/>
  </si>
  <si>
    <t>・　Ａ＝</t>
    <phoneticPr fontId="2"/>
  </si>
  <si>
    <t>・　Ｂ＝</t>
    <phoneticPr fontId="2"/>
  </si>
  <si>
    <t>・　Ｃ＝</t>
    <phoneticPr fontId="2"/>
  </si>
  <si>
    <t>・　Ｄ＝</t>
    <phoneticPr fontId="2"/>
  </si>
  <si>
    <t>＋</t>
    <phoneticPr fontId="2"/>
  </si>
  <si>
    <t>＝</t>
    <phoneticPr fontId="2"/>
  </si>
  <si>
    <t>②　</t>
    <phoneticPr fontId="2"/>
  </si>
  <si>
    <t>利子補給に係るもの（政令第12条第４号）</t>
    <rPh sb="0" eb="2">
      <t>リシ</t>
    </rPh>
    <rPh sb="2" eb="4">
      <t>ホキュウ</t>
    </rPh>
    <rPh sb="5" eb="6">
      <t>カカ</t>
    </rPh>
    <rPh sb="10" eb="12">
      <t>セイレイ</t>
    </rPh>
    <rPh sb="12" eb="13">
      <t>ダイ</t>
    </rPh>
    <rPh sb="15" eb="16">
      <t>ジョウ</t>
    </rPh>
    <rPh sb="16" eb="17">
      <t>ダイ</t>
    </rPh>
    <rPh sb="18" eb="19">
      <t>ゴウ</t>
    </rPh>
    <phoneticPr fontId="2"/>
  </si>
  <si>
    <t>企業債残高</t>
    <rPh sb="0" eb="2">
      <t>キギョウ</t>
    </rPh>
    <rPh sb="2" eb="3">
      <t>サイ</t>
    </rPh>
    <rPh sb="3" eb="5">
      <t>ザンダカ</t>
    </rPh>
    <phoneticPr fontId="2"/>
  </si>
  <si>
    <t>流動負債の額等</t>
    <rPh sb="0" eb="2">
      <t>リュウドウ</t>
    </rPh>
    <rPh sb="2" eb="4">
      <t>フサイ</t>
    </rPh>
    <rPh sb="5" eb="6">
      <t>ガク</t>
    </rPh>
    <rPh sb="6" eb="7">
      <t>トウ</t>
    </rPh>
    <phoneticPr fontId="2"/>
  </si>
  <si>
    <t>流動資産の額等</t>
    <rPh sb="0" eb="2">
      <t>リュウドウ</t>
    </rPh>
    <rPh sb="2" eb="4">
      <t>シサン</t>
    </rPh>
    <rPh sb="5" eb="6">
      <t>ガク</t>
    </rPh>
    <rPh sb="6" eb="7">
      <t>トウ</t>
    </rPh>
    <phoneticPr fontId="2"/>
  </si>
  <si>
    <t>(単位:％)</t>
    <rPh sb="1" eb="3">
      <t>タンイ</t>
    </rPh>
    <phoneticPr fontId="37"/>
  </si>
  <si>
    <t>平成23年度決算</t>
    <rPh sb="0" eb="2">
      <t>ヘイセイ</t>
    </rPh>
    <rPh sb="4" eb="6">
      <t>ネンド</t>
    </rPh>
    <rPh sb="6" eb="8">
      <t>ケッサン</t>
    </rPh>
    <phoneticPr fontId="37"/>
  </si>
  <si>
    <t>増減</t>
    <rPh sb="0" eb="2">
      <t>ゾウゲン</t>
    </rPh>
    <phoneticPr fontId="37"/>
  </si>
  <si>
    <t>実質公債費比率</t>
    <phoneticPr fontId="37"/>
  </si>
  <si>
    <t>将来負担比率</t>
    <rPh sb="0" eb="2">
      <t>ショウライ</t>
    </rPh>
    <rPh sb="2" eb="4">
      <t>フタン</t>
    </rPh>
    <rPh sb="4" eb="6">
      <t>ヒリツ</t>
    </rPh>
    <phoneticPr fontId="37"/>
  </si>
  <si>
    <t>(単位:千円)</t>
    <rPh sb="1" eb="3">
      <t>タンイ</t>
    </rPh>
    <rPh sb="4" eb="6">
      <t>センエン</t>
    </rPh>
    <phoneticPr fontId="37"/>
  </si>
  <si>
    <t>うち公共下水道事業会計分</t>
    <rPh sb="7" eb="9">
      <t>ジギョウ</t>
    </rPh>
    <rPh sb="9" eb="11">
      <t>カイケイ</t>
    </rPh>
    <rPh sb="11" eb="12">
      <t>ブン</t>
    </rPh>
    <phoneticPr fontId="37"/>
  </si>
  <si>
    <t>うち都市計画税</t>
    <rPh sb="2" eb="4">
      <t>トシ</t>
    </rPh>
    <rPh sb="4" eb="6">
      <t>ケイカク</t>
    </rPh>
    <rPh sb="6" eb="7">
      <t>ゼイ</t>
    </rPh>
    <phoneticPr fontId="2"/>
  </si>
  <si>
    <t>公営企業債等繰入見込額</t>
    <phoneticPr fontId="37"/>
  </si>
  <si>
    <t>うち病院事業</t>
    <rPh sb="2" eb="4">
      <t>ビョウイン</t>
    </rPh>
    <rPh sb="4" eb="6">
      <t>ジギョウ</t>
    </rPh>
    <phoneticPr fontId="37"/>
  </si>
  <si>
    <t>　退職手当負担見込額は、「勤続年数別給料月額総額」×「勤続年数別自己都合退職支給率」で</t>
    <rPh sb="1" eb="3">
      <t>タイショク</t>
    </rPh>
    <rPh sb="3" eb="5">
      <t>テアテ</t>
    </rPh>
    <rPh sb="5" eb="7">
      <t>フタン</t>
    </rPh>
    <rPh sb="7" eb="9">
      <t>ミコミ</t>
    </rPh>
    <rPh sb="9" eb="10">
      <t>ガク</t>
    </rPh>
    <rPh sb="13" eb="15">
      <t>キンゾク</t>
    </rPh>
    <rPh sb="15" eb="17">
      <t>ネンスウ</t>
    </rPh>
    <rPh sb="17" eb="18">
      <t>ベツ</t>
    </rPh>
    <rPh sb="18" eb="20">
      <t>キュウリョウ</t>
    </rPh>
    <rPh sb="20" eb="22">
      <t>ゲツガク</t>
    </rPh>
    <rPh sb="22" eb="24">
      <t>ソウガク</t>
    </rPh>
    <rPh sb="27" eb="29">
      <t>キンゾク</t>
    </rPh>
    <rPh sb="29" eb="31">
      <t>ネンスウ</t>
    </rPh>
    <rPh sb="31" eb="32">
      <t>ベツ</t>
    </rPh>
    <rPh sb="32" eb="34">
      <t>ジコ</t>
    </rPh>
    <rPh sb="34" eb="36">
      <t>ツゴウ</t>
    </rPh>
    <rPh sb="36" eb="38">
      <t>タイショク</t>
    </rPh>
    <rPh sb="38" eb="41">
      <t>シキュウリツ</t>
    </rPh>
    <phoneticPr fontId="37"/>
  </si>
  <si>
    <t>・基準財政需要額算入見込額の増</t>
    <rPh sb="14" eb="15">
      <t>ゾウ</t>
    </rPh>
    <phoneticPr fontId="37"/>
  </si>
  <si>
    <t>Ａ：将来負担額の比較</t>
    <rPh sb="2" eb="4">
      <t>ショウライ</t>
    </rPh>
    <rPh sb="4" eb="6">
      <t>フタン</t>
    </rPh>
    <rPh sb="6" eb="7">
      <t>ガク</t>
    </rPh>
    <rPh sb="8" eb="10">
      <t>ヒカク</t>
    </rPh>
    <phoneticPr fontId="21"/>
  </si>
  <si>
    <t>内訳</t>
    <rPh sb="0" eb="2">
      <t>ウチワケ</t>
    </rPh>
    <phoneticPr fontId="37"/>
  </si>
  <si>
    <t>平成24年度</t>
    <rPh sb="0" eb="2">
      <t>ヘイセイ</t>
    </rPh>
    <rPh sb="4" eb="6">
      <t>ネンド</t>
    </rPh>
    <phoneticPr fontId="37"/>
  </si>
  <si>
    <t>平成23年度</t>
    <rPh sb="0" eb="2">
      <t>ヘイセイ</t>
    </rPh>
    <rPh sb="4" eb="6">
      <t>ネンド</t>
    </rPh>
    <phoneticPr fontId="37"/>
  </si>
  <si>
    <t>①</t>
  </si>
  <si>
    <t>地方債の現在高</t>
  </si>
  <si>
    <t>②</t>
  </si>
  <si>
    <t>債務負担行為に基づく支出予定額</t>
  </si>
  <si>
    <t>③</t>
  </si>
  <si>
    <t>組合等負担等見込額</t>
  </si>
  <si>
    <t>⑤</t>
  </si>
  <si>
    <t>退職手当負担見込額</t>
    <phoneticPr fontId="37"/>
  </si>
  <si>
    <t>⑥</t>
  </si>
  <si>
    <t>設立法人の負債額等負担見込額</t>
  </si>
  <si>
    <t>⑦</t>
  </si>
  <si>
    <t>連結実質赤字額</t>
  </si>
  <si>
    <t>⑧</t>
  </si>
  <si>
    <t>組合等連結実質赤字額負担見込額</t>
  </si>
  <si>
    <t>計</t>
    <rPh sb="0" eb="1">
      <t>ケイ</t>
    </rPh>
    <phoneticPr fontId="21"/>
  </si>
  <si>
    <t>・債務負担行為に基づく支出予定額(②)の減</t>
    <phoneticPr fontId="37"/>
  </si>
  <si>
    <t>　「依頼土地の買い戻しに係るもの」に計上していた病院用地等購入費分1,003,687千円について、平成24年度に公社から土地を買い戻したため、皆減となったことなどにより、債務負担行為に基づく支出予定額が減少した。</t>
    <rPh sb="101" eb="103">
      <t>ゲンショウ</t>
    </rPh>
    <phoneticPr fontId="37"/>
  </si>
  <si>
    <t>・公営企業債等繰入見込額(③)の減</t>
    <rPh sb="16" eb="17">
      <t>ゲン</t>
    </rPh>
    <phoneticPr fontId="37"/>
  </si>
  <si>
    <t>公営企業債等繰入見込額のうち病院事業</t>
    <rPh sb="14" eb="16">
      <t>ビョウイン</t>
    </rPh>
    <rPh sb="16" eb="18">
      <t>ジギョウ</t>
    </rPh>
    <phoneticPr fontId="37"/>
  </si>
  <si>
    <t>　公営企業債等繰入見込額は、「企業債の残高」×「前３年の「元金償還金に対する準元金償還金の割合」の平均」で求められる。   
　病院事業は、企業債残高が、H23:230,460千円→H24:2,110,309千円と増加した結果、公営企業債等繰入見込額が増加した。増額分1,879,849千円分全額が計上されないのは、「前３年の「元金償還金に対する準元金償還金の割合」の平均」が、「0.628」であったためである。
　一方、公共下水道事業は、企業債残高が、H23:18,229,610→H24:17,584,745千円と減少したことに加え、基準内繰出額が減少したことにより、「元金償還金に対する準元金償還金の割合」の平均」が、Ｈ23:0.853→Ｈ24:0.728と減少したため、公営企業債等繰入見込額が減少した。</t>
    <rPh sb="111" eb="113">
      <t>ケッカ</t>
    </rPh>
    <rPh sb="126" eb="128">
      <t>ゾウカ</t>
    </rPh>
    <rPh sb="131" eb="133">
      <t>ゾウガク</t>
    </rPh>
    <rPh sb="133" eb="134">
      <t>ブン</t>
    </rPh>
    <rPh sb="143" eb="145">
      <t>センエン</t>
    </rPh>
    <rPh sb="145" eb="146">
      <t>ブン</t>
    </rPh>
    <rPh sb="146" eb="148">
      <t>ゼンガク</t>
    </rPh>
    <rPh sb="149" eb="151">
      <t>ケイジョウ</t>
    </rPh>
    <rPh sb="351" eb="353">
      <t>ゲンショウ</t>
    </rPh>
    <phoneticPr fontId="37"/>
  </si>
  <si>
    <t>Ｂ:充当可能基金（注：将来負担を減じる要素）の比較</t>
    <rPh sb="2" eb="4">
      <t>ジュウトウ</t>
    </rPh>
    <rPh sb="4" eb="6">
      <t>カノウ</t>
    </rPh>
    <rPh sb="6" eb="8">
      <t>キキン</t>
    </rPh>
    <rPh sb="9" eb="10">
      <t>チュウ</t>
    </rPh>
    <rPh sb="11" eb="13">
      <t>ショウライ</t>
    </rPh>
    <rPh sb="13" eb="15">
      <t>フタン</t>
    </rPh>
    <rPh sb="16" eb="17">
      <t>ゲン</t>
    </rPh>
    <rPh sb="19" eb="21">
      <t>ヨウソ</t>
    </rPh>
    <rPh sb="23" eb="25">
      <t>ヒカク</t>
    </rPh>
    <phoneticPr fontId="37"/>
  </si>
  <si>
    <t>Ｃ:特定財源見込額（注：将来負担を減じる要素）の比較</t>
    <rPh sb="2" eb="4">
      <t>トクテイ</t>
    </rPh>
    <rPh sb="4" eb="6">
      <t>ザイゲン</t>
    </rPh>
    <rPh sb="6" eb="8">
      <t>ミコミ</t>
    </rPh>
    <rPh sb="8" eb="9">
      <t>ガク</t>
    </rPh>
    <rPh sb="10" eb="11">
      <t>チュウ</t>
    </rPh>
    <rPh sb="12" eb="14">
      <t>ショウライ</t>
    </rPh>
    <rPh sb="14" eb="16">
      <t>フタン</t>
    </rPh>
    <rPh sb="17" eb="18">
      <t>ゲン</t>
    </rPh>
    <rPh sb="20" eb="22">
      <t>ヨウソ</t>
    </rPh>
    <rPh sb="24" eb="26">
      <t>ヒカク</t>
    </rPh>
    <phoneticPr fontId="37"/>
  </si>
  <si>
    <t>国庫支出金等</t>
    <rPh sb="0" eb="2">
      <t>コッコ</t>
    </rPh>
    <rPh sb="2" eb="6">
      <t>シシュツキントウ</t>
    </rPh>
    <phoneticPr fontId="21"/>
  </si>
  <si>
    <t>地方債を財源とする貸付金の償還額</t>
    <rPh sb="0" eb="3">
      <t>チホウサイ</t>
    </rPh>
    <rPh sb="4" eb="6">
      <t>ザイゲン</t>
    </rPh>
    <rPh sb="9" eb="11">
      <t>カシツケ</t>
    </rPh>
    <rPh sb="11" eb="12">
      <t>キン</t>
    </rPh>
    <rPh sb="13" eb="15">
      <t>ショウカン</t>
    </rPh>
    <rPh sb="15" eb="16">
      <t>ガク</t>
    </rPh>
    <phoneticPr fontId="21"/>
  </si>
  <si>
    <t>公営住宅等の賃貸料等</t>
    <rPh sb="0" eb="2">
      <t>コウエイ</t>
    </rPh>
    <rPh sb="2" eb="5">
      <t>ジュウタクトウ</t>
    </rPh>
    <rPh sb="6" eb="8">
      <t>チンタイ</t>
    </rPh>
    <rPh sb="8" eb="9">
      <t>リョウ</t>
    </rPh>
    <rPh sb="9" eb="10">
      <t>トウ</t>
    </rPh>
    <phoneticPr fontId="21"/>
  </si>
  <si>
    <t>都市計画税収</t>
    <rPh sb="0" eb="2">
      <t>トシ</t>
    </rPh>
    <rPh sb="2" eb="4">
      <t>ケイカク</t>
    </rPh>
    <rPh sb="4" eb="5">
      <t>ゼイ</t>
    </rPh>
    <rPh sb="5" eb="6">
      <t>オサム</t>
    </rPh>
    <phoneticPr fontId="37"/>
  </si>
  <si>
    <t>土地開発公社に対する土地の取得のための貸付金の償還金</t>
    <rPh sb="0" eb="2">
      <t>トチ</t>
    </rPh>
    <rPh sb="2" eb="4">
      <t>カイハツ</t>
    </rPh>
    <rPh sb="4" eb="6">
      <t>コウシャ</t>
    </rPh>
    <rPh sb="7" eb="8">
      <t>タイ</t>
    </rPh>
    <rPh sb="10" eb="12">
      <t>トチ</t>
    </rPh>
    <rPh sb="13" eb="15">
      <t>シュトク</t>
    </rPh>
    <rPh sb="19" eb="21">
      <t>カシツケ</t>
    </rPh>
    <rPh sb="21" eb="22">
      <t>キン</t>
    </rPh>
    <rPh sb="23" eb="26">
      <t>ショウカンキン</t>
    </rPh>
    <phoneticPr fontId="21"/>
  </si>
  <si>
    <t>その他将来負担額に充当可能な特定の歳入</t>
    <rPh sb="2" eb="3">
      <t>タ</t>
    </rPh>
    <rPh sb="3" eb="5">
      <t>ショウライ</t>
    </rPh>
    <rPh sb="5" eb="7">
      <t>フタン</t>
    </rPh>
    <rPh sb="7" eb="8">
      <t>ガク</t>
    </rPh>
    <rPh sb="9" eb="11">
      <t>ジュウトウ</t>
    </rPh>
    <rPh sb="11" eb="13">
      <t>カノウ</t>
    </rPh>
    <rPh sb="14" eb="16">
      <t>トクテイ</t>
    </rPh>
    <rPh sb="17" eb="19">
      <t>サイニュウ</t>
    </rPh>
    <phoneticPr fontId="21"/>
  </si>
  <si>
    <t>　市営住宅（西島団地）の償還金に対する特定財源として公営住宅使用料716,391千円が見込めるとして計上された一方(③)、土地開発公社に対する土地の取得のための貸付金の償還金が平成２４年度に返還されたことに伴い、2,200,000千円が皆減したこと(⑤)や、都市計画税算入見込額も大幅に減額となったこと(④)などにより、結果、2,581,123千円の減となった。</t>
    <rPh sb="1" eb="3">
      <t>シエイ</t>
    </rPh>
    <rPh sb="3" eb="5">
      <t>ジュウタク</t>
    </rPh>
    <rPh sb="6" eb="8">
      <t>ニシジマ</t>
    </rPh>
    <rPh sb="8" eb="10">
      <t>ダンチ</t>
    </rPh>
    <rPh sb="12" eb="15">
      <t>ショウカンキン</t>
    </rPh>
    <rPh sb="16" eb="17">
      <t>タイ</t>
    </rPh>
    <rPh sb="19" eb="21">
      <t>トクテイ</t>
    </rPh>
    <rPh sb="21" eb="23">
      <t>ザイゲン</t>
    </rPh>
    <rPh sb="43" eb="45">
      <t>ミコ</t>
    </rPh>
    <rPh sb="50" eb="52">
      <t>ケイジョウ</t>
    </rPh>
    <rPh sb="55" eb="57">
      <t>イッポウ</t>
    </rPh>
    <rPh sb="88" eb="90">
      <t>ヘイセイ</t>
    </rPh>
    <rPh sb="92" eb="94">
      <t>ネンド</t>
    </rPh>
    <rPh sb="95" eb="97">
      <t>ヘンカン</t>
    </rPh>
    <rPh sb="103" eb="104">
      <t>トモナ</t>
    </rPh>
    <rPh sb="115" eb="117">
      <t>センエン</t>
    </rPh>
    <rPh sb="118" eb="120">
      <t>ミナゲン</t>
    </rPh>
    <rPh sb="129" eb="134">
      <t>トシケイカクゼイ</t>
    </rPh>
    <rPh sb="134" eb="136">
      <t>サンニュウ</t>
    </rPh>
    <rPh sb="136" eb="139">
      <t>ミコミガク</t>
    </rPh>
    <rPh sb="140" eb="142">
      <t>オオハバ</t>
    </rPh>
    <rPh sb="160" eb="162">
      <t>ケッカ</t>
    </rPh>
    <rPh sb="172" eb="174">
      <t>センエン</t>
    </rPh>
    <rPh sb="175" eb="176">
      <t>ゲン</t>
    </rPh>
    <phoneticPr fontId="37"/>
  </si>
  <si>
    <t>Ｄ：地方債現在高等に係る基準財政需要額算入見込額（注：将来負担を減じる要素）の比較</t>
    <rPh sb="39" eb="41">
      <t>ヒカク</t>
    </rPh>
    <phoneticPr fontId="37"/>
  </si>
  <si>
    <t>●総括　</t>
    <rPh sb="1" eb="3">
      <t>ソウカツ</t>
    </rPh>
    <phoneticPr fontId="37"/>
  </si>
  <si>
    <t>分母（Ｅ－Ｆ）</t>
    <rPh sb="0" eb="2">
      <t>ブンボ</t>
    </rPh>
    <phoneticPr fontId="37"/>
  </si>
  <si>
    <t>　将来負担である分子が、約52億円の減となった結果、将来負担比率も、31.1％→9.4％（▲21.7ポイント）と大幅な減となった。
　しかしながら、起債残高の多くを占める「臨時財政対策債」や「合併特例債」が、将来負担から除かれる仕組みになっていることや、公営企業への繰入見込み額も基準内繰出額等から推定したものであり企業会計の経営状況によっては見込額以上に繰り入れをすることもあり得ることなどから、好転を手放しで喜んではいられない状況である。</t>
    <rPh sb="1" eb="5">
      <t>ショウライフタン</t>
    </rPh>
    <rPh sb="8" eb="10">
      <t>ブンシ</t>
    </rPh>
    <rPh sb="12" eb="13">
      <t>ヤク</t>
    </rPh>
    <rPh sb="15" eb="17">
      <t>オクエン</t>
    </rPh>
    <rPh sb="18" eb="19">
      <t>ゲン</t>
    </rPh>
    <rPh sb="23" eb="25">
      <t>ケッカ</t>
    </rPh>
    <rPh sb="26" eb="28">
      <t>ショウライ</t>
    </rPh>
    <rPh sb="28" eb="30">
      <t>フタン</t>
    </rPh>
    <rPh sb="30" eb="32">
      <t>ヒリツ</t>
    </rPh>
    <rPh sb="56" eb="58">
      <t>オオハバ</t>
    </rPh>
    <rPh sb="59" eb="60">
      <t>ゲン</t>
    </rPh>
    <rPh sb="74" eb="76">
      <t>キサイ</t>
    </rPh>
    <rPh sb="76" eb="78">
      <t>ザンダカ</t>
    </rPh>
    <rPh sb="79" eb="80">
      <t>オオ</t>
    </rPh>
    <rPh sb="82" eb="83">
      <t>シ</t>
    </rPh>
    <rPh sb="104" eb="106">
      <t>ショウライ</t>
    </rPh>
    <rPh sb="106" eb="108">
      <t>フタン</t>
    </rPh>
    <rPh sb="110" eb="111">
      <t>ノゾ</t>
    </rPh>
    <rPh sb="114" eb="116">
      <t>シク</t>
    </rPh>
    <rPh sb="127" eb="129">
      <t>コウエイ</t>
    </rPh>
    <rPh sb="129" eb="131">
      <t>キギョウ</t>
    </rPh>
    <rPh sb="133" eb="134">
      <t>ク</t>
    </rPh>
    <rPh sb="134" eb="135">
      <t>イ</t>
    </rPh>
    <rPh sb="135" eb="137">
      <t>ミコ</t>
    </rPh>
    <rPh sb="138" eb="139">
      <t>ガク</t>
    </rPh>
    <rPh sb="140" eb="143">
      <t>キジュンナイ</t>
    </rPh>
    <rPh sb="143" eb="144">
      <t>ク</t>
    </rPh>
    <rPh sb="144" eb="145">
      <t>ダ</t>
    </rPh>
    <rPh sb="145" eb="146">
      <t>ガク</t>
    </rPh>
    <rPh sb="146" eb="147">
      <t>トウ</t>
    </rPh>
    <rPh sb="149" eb="151">
      <t>スイテイ</t>
    </rPh>
    <rPh sb="158" eb="160">
      <t>キギョウ</t>
    </rPh>
    <rPh sb="160" eb="162">
      <t>カイケイ</t>
    </rPh>
    <rPh sb="163" eb="165">
      <t>ケイエイ</t>
    </rPh>
    <rPh sb="165" eb="167">
      <t>ジョウキョウ</t>
    </rPh>
    <rPh sb="172" eb="175">
      <t>ミコミガク</t>
    </rPh>
    <rPh sb="175" eb="177">
      <t>イジョウ</t>
    </rPh>
    <rPh sb="178" eb="179">
      <t>ク</t>
    </rPh>
    <rPh sb="180" eb="181">
      <t>イ</t>
    </rPh>
    <rPh sb="190" eb="191">
      <t>ウ</t>
    </rPh>
    <rPh sb="199" eb="201">
      <t>コウテン</t>
    </rPh>
    <rPh sb="202" eb="204">
      <t>テバナ</t>
    </rPh>
    <rPh sb="206" eb="207">
      <t>ヨロコ</t>
    </rPh>
    <rPh sb="215" eb="217">
      <t>ジョウキョウ</t>
    </rPh>
    <phoneticPr fontId="37"/>
  </si>
  <si>
    <t>充当可能基金</t>
    <phoneticPr fontId="37"/>
  </si>
  <si>
    <t>基準財政需要額算入見込額</t>
    <phoneticPr fontId="37"/>
  </si>
  <si>
    <t>公営企業債等繰入見込額のうち公共下水道事業</t>
    <phoneticPr fontId="37"/>
  </si>
  <si>
    <t>・退職手当負担見込額(⑤)の減</t>
    <phoneticPr fontId="37"/>
  </si>
  <si>
    <t>　退職手当負担見込額は、「勤続年数別給料月額総額」×「勤続年数別自己都合退職支給率」で求められる。ここ数年、長期勤続職員の退職が多いことから、退職手当負担見込額は年々減少している。</t>
    <phoneticPr fontId="37"/>
  </si>
  <si>
    <t>　平成24年度、病院建設基金に約23億円を新規積立てしたことなどにより、基金残高が増加した。</t>
    <phoneticPr fontId="37"/>
  </si>
  <si>
    <t>　臨時財政対策債発行可能額、合併特例債の残高の増により、「公債費」での需要額算入見込額が大きく伸びている。</t>
    <phoneticPr fontId="37"/>
  </si>
  <si>
    <t>分子（Ａ－（Ｂ＋Ｃ＋Ｄ））</t>
    <phoneticPr fontId="37"/>
  </si>
  <si>
    <t>⑥　公債費に準ずる債務負担行為に係るもの</t>
    <phoneticPr fontId="2"/>
  </si>
  <si>
    <t>公営住宅等賃料</t>
    <rPh sb="0" eb="2">
      <t>コウエイ</t>
    </rPh>
    <rPh sb="2" eb="4">
      <t>ジュウタク</t>
    </rPh>
    <rPh sb="4" eb="5">
      <t>トウ</t>
    </rPh>
    <rPh sb="5" eb="7">
      <t>チンリョウ</t>
    </rPh>
    <phoneticPr fontId="2"/>
  </si>
  <si>
    <t>Ver.26.00</t>
  </si>
  <si>
    <t>団体名</t>
    <rPh sb="0" eb="2">
      <t>ダンタイ</t>
    </rPh>
    <rPh sb="2" eb="3">
      <t>メイ</t>
    </rPh>
    <phoneticPr fontId="2"/>
  </si>
  <si>
    <t>（単位：千円）</t>
    <rPh sb="1" eb="3">
      <t>タンイ</t>
    </rPh>
    <rPh sb="4" eb="6">
      <t>センエン</t>
    </rPh>
    <phoneticPr fontId="2"/>
  </si>
  <si>
    <t>地方債の現在高</t>
    <rPh sb="0" eb="3">
      <t>チホウサイ</t>
    </rPh>
    <rPh sb="4" eb="6">
      <t>ゲンザイ</t>
    </rPh>
    <rPh sb="6" eb="7">
      <t>ダカ</t>
    </rPh>
    <phoneticPr fontId="2"/>
  </si>
  <si>
    <t>組合
負担等見込額</t>
    <rPh sb="0" eb="2">
      <t>クミアイ</t>
    </rPh>
    <rPh sb="3" eb="6">
      <t>フタントウ</t>
    </rPh>
    <rPh sb="6" eb="8">
      <t>ミコミ</t>
    </rPh>
    <rPh sb="8" eb="9">
      <t>ガク</t>
    </rPh>
    <phoneticPr fontId="2"/>
  </si>
  <si>
    <t>設立法人の
負債額等
負担見込額</t>
    <rPh sb="0" eb="2">
      <t>セツリツ</t>
    </rPh>
    <rPh sb="2" eb="4">
      <t>ホウジン</t>
    </rPh>
    <rPh sb="6" eb="8">
      <t>フサイ</t>
    </rPh>
    <rPh sb="8" eb="9">
      <t>ガク</t>
    </rPh>
    <rPh sb="9" eb="10">
      <t>トウ</t>
    </rPh>
    <rPh sb="11" eb="13">
      <t>フタン</t>
    </rPh>
    <rPh sb="13" eb="15">
      <t>ミコミ</t>
    </rPh>
    <rPh sb="15" eb="16">
      <t>ガク</t>
    </rPh>
    <phoneticPr fontId="2"/>
  </si>
  <si>
    <t>連結実質
赤字額</t>
    <rPh sb="0" eb="2">
      <t>レンケツ</t>
    </rPh>
    <rPh sb="2" eb="4">
      <t>ジッシツ</t>
    </rPh>
    <rPh sb="5" eb="8">
      <t>アカジガク</t>
    </rPh>
    <phoneticPr fontId="2"/>
  </si>
  <si>
    <t>組合連結実質
赤字額負担見込額</t>
    <rPh sb="0" eb="2">
      <t>クミアイ</t>
    </rPh>
    <rPh sb="2" eb="4">
      <t>レンケツ</t>
    </rPh>
    <rPh sb="4" eb="6">
      <t>ジッシツ</t>
    </rPh>
    <rPh sb="7" eb="10">
      <t>アカジガク</t>
    </rPh>
    <rPh sb="10" eb="12">
      <t>フタン</t>
    </rPh>
    <rPh sb="12" eb="14">
      <t>ミコミ</t>
    </rPh>
    <rPh sb="14" eb="15">
      <t>ガク</t>
    </rPh>
    <phoneticPr fontId="2"/>
  </si>
  <si>
    <t>地方道路公社</t>
    <rPh sb="0" eb="2">
      <t>チホウ</t>
    </rPh>
    <rPh sb="2" eb="4">
      <t>ドウロ</t>
    </rPh>
    <rPh sb="4" eb="6">
      <t>コウシャ</t>
    </rPh>
    <phoneticPr fontId="2"/>
  </si>
  <si>
    <t>土地開発公社</t>
    <rPh sb="0" eb="2">
      <t>トチ</t>
    </rPh>
    <rPh sb="2" eb="4">
      <t>カイハツ</t>
    </rPh>
    <rPh sb="4" eb="6">
      <t>コウシャ</t>
    </rPh>
    <phoneticPr fontId="2"/>
  </si>
  <si>
    <t>第三セクター等</t>
    <rPh sb="0" eb="1">
      <t>ダイ</t>
    </rPh>
    <rPh sb="1" eb="2">
      <t>サン</t>
    </rPh>
    <rPh sb="6" eb="7">
      <t>トウ</t>
    </rPh>
    <phoneticPr fontId="2"/>
  </si>
  <si>
    <t>（分母比）</t>
    <rPh sb="1" eb="3">
      <t>ブンボ</t>
    </rPh>
    <rPh sb="3" eb="4">
      <t>ヒ</t>
    </rPh>
    <phoneticPr fontId="2"/>
  </si>
  <si>
    <t/>
  </si>
  <si>
    <t>充当可能財源等</t>
    <rPh sb="0" eb="2">
      <t>ジュウトウ</t>
    </rPh>
    <rPh sb="2" eb="4">
      <t>カノウ</t>
    </rPh>
    <rPh sb="4" eb="6">
      <t>ザイゲン</t>
    </rPh>
    <rPh sb="6" eb="7">
      <t>トウ</t>
    </rPh>
    <phoneticPr fontId="2"/>
  </si>
  <si>
    <t>充当可能基金</t>
    <rPh sb="0" eb="2">
      <t>ジュウトウ</t>
    </rPh>
    <rPh sb="2" eb="4">
      <t>カノウ</t>
    </rPh>
    <rPh sb="4" eb="6">
      <t>キキン</t>
    </rPh>
    <phoneticPr fontId="2"/>
  </si>
  <si>
    <t>充当可能
特定歳入</t>
    <rPh sb="0" eb="2">
      <t>ジュウトウ</t>
    </rPh>
    <rPh sb="2" eb="4">
      <t>カノウ</t>
    </rPh>
    <rPh sb="5" eb="7">
      <t>トクテイ</t>
    </rPh>
    <rPh sb="7" eb="9">
      <t>サイニュウ</t>
    </rPh>
    <phoneticPr fontId="2"/>
  </si>
  <si>
    <t>基準財政需要額
算入見込額</t>
    <rPh sb="0" eb="2">
      <t>キジュン</t>
    </rPh>
    <rPh sb="2" eb="4">
      <t>ザイセイ</t>
    </rPh>
    <rPh sb="4" eb="6">
      <t>ジュヨウ</t>
    </rPh>
    <rPh sb="6" eb="7">
      <t>ガク</t>
    </rPh>
    <rPh sb="8" eb="10">
      <t>サンニュウ</t>
    </rPh>
    <rPh sb="10" eb="12">
      <t>ミコミ</t>
    </rPh>
    <rPh sb="12" eb="13">
      <t>ガク</t>
    </rPh>
    <phoneticPr fontId="2"/>
  </si>
  <si>
    <t>将来負担額　A</t>
    <rPh sb="0" eb="2">
      <t>ショウライ</t>
    </rPh>
    <rPh sb="2" eb="4">
      <t>フタン</t>
    </rPh>
    <rPh sb="4" eb="5">
      <t>ガク</t>
    </rPh>
    <phoneticPr fontId="2"/>
  </si>
  <si>
    <t>充当可能財源等　Ｂ</t>
    <rPh sb="0" eb="2">
      <t>ジュウトウ</t>
    </rPh>
    <rPh sb="2" eb="4">
      <t>カノウ</t>
    </rPh>
    <rPh sb="4" eb="6">
      <t>ザイゲン</t>
    </rPh>
    <rPh sb="6" eb="7">
      <t>トウ</t>
    </rPh>
    <phoneticPr fontId="2"/>
  </si>
  <si>
    <t>Ａ　－　Ｂ</t>
    <phoneticPr fontId="2"/>
  </si>
  <si>
    <t>将来負担比率　（％）</t>
    <rPh sb="0" eb="2">
      <t>ショウライ</t>
    </rPh>
    <rPh sb="2" eb="4">
      <t>フタン</t>
    </rPh>
    <rPh sb="4" eb="6">
      <t>ヒリツ</t>
    </rPh>
    <phoneticPr fontId="2"/>
  </si>
  <si>
    <t>標準財政規模　Ｃ</t>
    <rPh sb="0" eb="2">
      <t>ヒョウジュン</t>
    </rPh>
    <rPh sb="2" eb="4">
      <t>ザイセイ</t>
    </rPh>
    <rPh sb="4" eb="6">
      <t>キボ</t>
    </rPh>
    <phoneticPr fontId="2"/>
  </si>
  <si>
    <t>算入公債費等の額　Ｄ</t>
    <rPh sb="0" eb="2">
      <t>サンニュウ</t>
    </rPh>
    <rPh sb="2" eb="4">
      <t>コウサイ</t>
    </rPh>
    <rPh sb="4" eb="5">
      <t>ヒ</t>
    </rPh>
    <rPh sb="5" eb="6">
      <t>トウ</t>
    </rPh>
    <rPh sb="7" eb="8">
      <t>ガク</t>
    </rPh>
    <phoneticPr fontId="2"/>
  </si>
  <si>
    <t>Ｃ　－　Ｄ</t>
    <phoneticPr fontId="2"/>
  </si>
  <si>
    <t>Ａ　－　Ｂ</t>
    <phoneticPr fontId="2"/>
  </si>
  <si>
    <t>分子の増減理由</t>
    <rPh sb="0" eb="2">
      <t>ブンシ</t>
    </rPh>
    <rPh sb="3" eb="5">
      <t>ゾウゲン</t>
    </rPh>
    <rPh sb="5" eb="7">
      <t>リユウ</t>
    </rPh>
    <phoneticPr fontId="2"/>
  </si>
  <si>
    <t xml:space="preserve"> 退職手当負担見込額</t>
    <phoneticPr fontId="2"/>
  </si>
  <si>
    <t>(1)</t>
  </si>
  <si>
    <t>(2)</t>
  </si>
  <si>
    <t>(3)</t>
  </si>
  <si>
    <t xml:space="preserve"> 退職手当支給率の減</t>
    <rPh sb="1" eb="3">
      <t>タイショク</t>
    </rPh>
    <rPh sb="3" eb="5">
      <t>テアテ</t>
    </rPh>
    <rPh sb="5" eb="7">
      <t>シキュウ</t>
    </rPh>
    <rPh sb="7" eb="8">
      <t>リツ</t>
    </rPh>
    <rPh sb="9" eb="10">
      <t>ゲン</t>
    </rPh>
    <phoneticPr fontId="2"/>
  </si>
  <si>
    <t>準元金/元金（３か年平均）</t>
  </si>
  <si>
    <t>元金の残高（指定地方債を除く。）</t>
  </si>
  <si>
    <t>算定に用いる額 (1)×(2)</t>
  </si>
  <si>
    <t>42年</t>
    <rPh sb="2" eb="3">
      <t>ネン</t>
    </rPh>
    <phoneticPr fontId="2"/>
  </si>
  <si>
    <t>水道事業会計</t>
    <rPh sb="0" eb="2">
      <t>スイドウ</t>
    </rPh>
    <rPh sb="2" eb="4">
      <t>ジギョウ</t>
    </rPh>
    <rPh sb="4" eb="6">
      <t>カイケイ</t>
    </rPh>
    <phoneticPr fontId="34"/>
  </si>
  <si>
    <t xml:space="preserve"> 退職数の減</t>
    <rPh sb="1" eb="3">
      <t>タイショク</t>
    </rPh>
    <rPh sb="3" eb="4">
      <t>スウ</t>
    </rPh>
    <rPh sb="5" eb="6">
      <t>ゲン</t>
    </rPh>
    <phoneticPr fontId="2"/>
  </si>
  <si>
    <t>病院事業会計</t>
    <rPh sb="0" eb="2">
      <t>ビョウイン</t>
    </rPh>
    <rPh sb="2" eb="4">
      <t>ジギョウ</t>
    </rPh>
    <rPh sb="4" eb="6">
      <t>カイケイ</t>
    </rPh>
    <phoneticPr fontId="34"/>
  </si>
  <si>
    <t>公共下水道事業会計</t>
    <rPh sb="0" eb="2">
      <t>コウキョウ</t>
    </rPh>
    <rPh sb="2" eb="5">
      <t>ゲスイドウ</t>
    </rPh>
    <rPh sb="5" eb="7">
      <t>ジギョウ</t>
    </rPh>
    <rPh sb="7" eb="9">
      <t>カイケイ</t>
    </rPh>
    <phoneticPr fontId="34"/>
  </si>
  <si>
    <t>農業集落排水事業特別会計</t>
    <rPh sb="0" eb="2">
      <t>ノウギョウ</t>
    </rPh>
    <rPh sb="2" eb="4">
      <t>シュウラク</t>
    </rPh>
    <rPh sb="4" eb="6">
      <t>ハイスイ</t>
    </rPh>
    <rPh sb="6" eb="8">
      <t>ジギョウ</t>
    </rPh>
    <rPh sb="8" eb="10">
      <t>トクベツ</t>
    </rPh>
    <rPh sb="10" eb="12">
      <t>カイケイ</t>
    </rPh>
    <phoneticPr fontId="34"/>
  </si>
  <si>
    <t>分母の増減理由</t>
    <rPh sb="0" eb="2">
      <t>ブンボ</t>
    </rPh>
    <rPh sb="3" eb="5">
      <t>ゾウゲン</t>
    </rPh>
    <rPh sb="5" eb="7">
      <t>リユウ</t>
    </rPh>
    <phoneticPr fontId="2"/>
  </si>
  <si>
    <t>算入公債費等の額</t>
    <phoneticPr fontId="2"/>
  </si>
  <si>
    <t>災害復旧費等に係る基準財政需要額</t>
    <rPh sb="0" eb="2">
      <t>サイガイ</t>
    </rPh>
    <rPh sb="2" eb="5">
      <t>フッキュウヒ</t>
    </rPh>
    <rPh sb="5" eb="6">
      <t>トウ</t>
    </rPh>
    <rPh sb="7" eb="8">
      <t>カカ</t>
    </rPh>
    <rPh sb="9" eb="11">
      <t>キジュン</t>
    </rPh>
    <rPh sb="11" eb="13">
      <t>ザイセイ</t>
    </rPh>
    <rPh sb="13" eb="16">
      <t>ジュヨウガク</t>
    </rPh>
    <phoneticPr fontId="2"/>
  </si>
  <si>
    <t>臨時財政対策債</t>
    <rPh sb="0" eb="2">
      <t>リンジ</t>
    </rPh>
    <rPh sb="2" eb="4">
      <t>ザイセイ</t>
    </rPh>
    <rPh sb="4" eb="6">
      <t>タイサク</t>
    </rPh>
    <rPh sb="6" eb="7">
      <t>サイ</t>
    </rPh>
    <phoneticPr fontId="2"/>
  </si>
  <si>
    <t>普通交付税決定額</t>
    <rPh sb="0" eb="2">
      <t>フツウ</t>
    </rPh>
    <rPh sb="2" eb="5">
      <t>コウフゼイ</t>
    </rPh>
    <rPh sb="5" eb="7">
      <t>ケッテイ</t>
    </rPh>
    <rPh sb="7" eb="8">
      <t>ガク</t>
    </rPh>
    <phoneticPr fontId="2"/>
  </si>
  <si>
    <t>合併特例債</t>
    <rPh sb="0" eb="2">
      <t>ガッペイ</t>
    </rPh>
    <rPh sb="2" eb="4">
      <t>トクレイ</t>
    </rPh>
    <rPh sb="4" eb="5">
      <t>サイ</t>
    </rPh>
    <phoneticPr fontId="2"/>
  </si>
  <si>
    <t>消費税引き上げ分</t>
    <rPh sb="0" eb="2">
      <t>ショウヒ</t>
    </rPh>
    <rPh sb="2" eb="3">
      <t>ゼイ</t>
    </rPh>
    <rPh sb="3" eb="4">
      <t>ヒ</t>
    </rPh>
    <rPh sb="5" eb="7">
      <t>ア</t>
    </rPh>
    <rPh sb="7" eb="8">
      <t>ブン</t>
    </rPh>
    <phoneticPr fontId="2"/>
  </si>
  <si>
    <t>事業費補正に係る基準財政需要額</t>
    <rPh sb="0" eb="3">
      <t>ジギョウヒ</t>
    </rPh>
    <rPh sb="3" eb="5">
      <t>ホセイ</t>
    </rPh>
    <rPh sb="6" eb="7">
      <t>カカ</t>
    </rPh>
    <rPh sb="8" eb="10">
      <t>キジュン</t>
    </rPh>
    <rPh sb="10" eb="12">
      <t>ザイセイ</t>
    </rPh>
    <rPh sb="12" eb="15">
      <t>ジュヨウガク</t>
    </rPh>
    <phoneticPr fontId="2"/>
  </si>
  <si>
    <t>清掃費</t>
    <rPh sb="0" eb="3">
      <t>セイソウヒ</t>
    </rPh>
    <phoneticPr fontId="2"/>
  </si>
  <si>
    <t xml:space="preserve"> 将来負担比率は、地方債の現在高、債務負担行為に基づく支出予定額、公営企業債等繰入見込額及び退職手当負担見込額将来負担額の合計額から充当可能基金、充当可能特定歳入及び基準財政需要額算入見込額合計額の充当可能財源等を引いた額を
標準財政規模から算入公債費等の額を引いた額で除した比率を言います</t>
    <rPh sb="1" eb="3">
      <t>ショウライ</t>
    </rPh>
    <rPh sb="3" eb="5">
      <t>フタン</t>
    </rPh>
    <rPh sb="5" eb="7">
      <t>ヒリツ</t>
    </rPh>
    <rPh sb="44" eb="45">
      <t>オヨ</t>
    </rPh>
    <rPh sb="55" eb="57">
      <t>ショウライ</t>
    </rPh>
    <rPh sb="57" eb="60">
      <t>フタンガク</t>
    </rPh>
    <rPh sb="61" eb="63">
      <t>ゴウケイ</t>
    </rPh>
    <rPh sb="63" eb="64">
      <t>ガク</t>
    </rPh>
    <rPh sb="81" eb="82">
      <t>オヨ</t>
    </rPh>
    <rPh sb="95" eb="98">
      <t>ゴウケイガク</t>
    </rPh>
    <rPh sb="107" eb="108">
      <t>ヒ</t>
    </rPh>
    <rPh sb="110" eb="111">
      <t>ガク</t>
    </rPh>
    <rPh sb="113" eb="115">
      <t>ヒョウジュン</t>
    </rPh>
    <rPh sb="115" eb="117">
      <t>ザイセイ</t>
    </rPh>
    <rPh sb="117" eb="119">
      <t>キボ</t>
    </rPh>
    <rPh sb="130" eb="131">
      <t>ヒ</t>
    </rPh>
    <rPh sb="133" eb="134">
      <t>ガク</t>
    </rPh>
    <rPh sb="135" eb="136">
      <t>ジョ</t>
    </rPh>
    <rPh sb="138" eb="140">
      <t>ヒリツ</t>
    </rPh>
    <rPh sb="141" eb="142">
      <t>イ</t>
    </rPh>
    <phoneticPr fontId="2"/>
  </si>
  <si>
    <t>費　　目</t>
    <rPh sb="0" eb="1">
      <t>ヒ</t>
    </rPh>
    <rPh sb="3" eb="4">
      <t>メ</t>
    </rPh>
    <phoneticPr fontId="23"/>
  </si>
  <si>
    <t>測定単位</t>
    <rPh sb="0" eb="2">
      <t>ソクテイ</t>
    </rPh>
    <rPh sb="2" eb="4">
      <t>タンイ</t>
    </rPh>
    <phoneticPr fontId="23"/>
  </si>
  <si>
    <t>算入見込額</t>
    <rPh sb="0" eb="2">
      <t>サンニュウ</t>
    </rPh>
    <rPh sb="2" eb="5">
      <t>ミコミガク</t>
    </rPh>
    <phoneticPr fontId="23"/>
  </si>
  <si>
    <t>差額</t>
    <rPh sb="0" eb="2">
      <t>サガク</t>
    </rPh>
    <phoneticPr fontId="2"/>
  </si>
  <si>
    <t>１</t>
  </si>
  <si>
    <t>消防費</t>
    <rPh sb="0" eb="3">
      <t>ショウボウヒ</t>
    </rPh>
    <phoneticPr fontId="23"/>
  </si>
  <si>
    <t>人口</t>
    <rPh sb="0" eb="2">
      <t>ジンコウ</t>
    </rPh>
    <phoneticPr fontId="23"/>
  </si>
  <si>
    <t>２</t>
  </si>
  <si>
    <t>道路橋りょう費</t>
    <rPh sb="0" eb="2">
      <t>ドウロ</t>
    </rPh>
    <rPh sb="2" eb="3">
      <t>キョウ</t>
    </rPh>
    <rPh sb="6" eb="7">
      <t>ヒ</t>
    </rPh>
    <phoneticPr fontId="23"/>
  </si>
  <si>
    <t>道路の延長</t>
    <rPh sb="0" eb="2">
      <t>ドウロ</t>
    </rPh>
    <rPh sb="3" eb="5">
      <t>エンチョウ</t>
    </rPh>
    <phoneticPr fontId="23"/>
  </si>
  <si>
    <t>３</t>
  </si>
  <si>
    <t>港湾費（港湾）</t>
    <rPh sb="0" eb="2">
      <t>コウワン</t>
    </rPh>
    <rPh sb="2" eb="3">
      <t>ヒ</t>
    </rPh>
    <rPh sb="4" eb="6">
      <t>コウワン</t>
    </rPh>
    <phoneticPr fontId="23"/>
  </si>
  <si>
    <t>外郭施設の延長</t>
    <rPh sb="0" eb="2">
      <t>ガイカク</t>
    </rPh>
    <rPh sb="2" eb="4">
      <t>シセツ</t>
    </rPh>
    <rPh sb="5" eb="7">
      <t>エンチョウ</t>
    </rPh>
    <phoneticPr fontId="23"/>
  </si>
  <si>
    <t>港湾費（漁港）</t>
    <rPh sb="0" eb="2">
      <t>コウワン</t>
    </rPh>
    <rPh sb="2" eb="3">
      <t>ヒ</t>
    </rPh>
    <rPh sb="4" eb="6">
      <t>ギョコウ</t>
    </rPh>
    <phoneticPr fontId="23"/>
  </si>
  <si>
    <t>４</t>
  </si>
  <si>
    <t>都市計画費</t>
    <rPh sb="0" eb="2">
      <t>トシ</t>
    </rPh>
    <rPh sb="2" eb="4">
      <t>ケイカク</t>
    </rPh>
    <rPh sb="4" eb="5">
      <t>ヒ</t>
    </rPh>
    <phoneticPr fontId="23"/>
  </si>
  <si>
    <t>都市計画区域人口</t>
    <rPh sb="0" eb="2">
      <t>トシ</t>
    </rPh>
    <rPh sb="2" eb="4">
      <t>ケイカク</t>
    </rPh>
    <rPh sb="4" eb="6">
      <t>クイキ</t>
    </rPh>
    <rPh sb="6" eb="8">
      <t>ジンコウ</t>
    </rPh>
    <phoneticPr fontId="23"/>
  </si>
  <si>
    <t>５</t>
  </si>
  <si>
    <t>公園費</t>
    <rPh sb="0" eb="2">
      <t>コウエン</t>
    </rPh>
    <rPh sb="2" eb="3">
      <t>ヒ</t>
    </rPh>
    <phoneticPr fontId="23"/>
  </si>
  <si>
    <t>６</t>
  </si>
  <si>
    <t>下水道費</t>
    <rPh sb="0" eb="3">
      <t>ゲスイドウ</t>
    </rPh>
    <rPh sb="3" eb="4">
      <t>ヒ</t>
    </rPh>
    <phoneticPr fontId="23"/>
  </si>
  <si>
    <t>７</t>
  </si>
  <si>
    <t>その他の土木費</t>
    <rPh sb="2" eb="3">
      <t>タ</t>
    </rPh>
    <rPh sb="4" eb="7">
      <t>ドボクヒ</t>
    </rPh>
    <phoneticPr fontId="23"/>
  </si>
  <si>
    <t>８</t>
  </si>
  <si>
    <t>小学校費</t>
    <rPh sb="0" eb="3">
      <t>ショウガッコウ</t>
    </rPh>
    <rPh sb="3" eb="4">
      <t>ヒ</t>
    </rPh>
    <phoneticPr fontId="23"/>
  </si>
  <si>
    <t>学級数</t>
    <rPh sb="0" eb="2">
      <t>ガッキュウ</t>
    </rPh>
    <rPh sb="2" eb="3">
      <t>スウ</t>
    </rPh>
    <phoneticPr fontId="23"/>
  </si>
  <si>
    <t>９</t>
  </si>
  <si>
    <t>中学校費</t>
    <rPh sb="0" eb="3">
      <t>チュウガッコウ</t>
    </rPh>
    <rPh sb="3" eb="4">
      <t>ヒ</t>
    </rPh>
    <phoneticPr fontId="23"/>
  </si>
  <si>
    <t>10</t>
  </si>
  <si>
    <t>高等学校費</t>
    <rPh sb="0" eb="2">
      <t>コウトウ</t>
    </rPh>
    <rPh sb="2" eb="4">
      <t>ガッコウ</t>
    </rPh>
    <rPh sb="4" eb="5">
      <t>ヒ</t>
    </rPh>
    <phoneticPr fontId="23"/>
  </si>
  <si>
    <t>生徒数</t>
    <rPh sb="0" eb="3">
      <t>セイトスウ</t>
    </rPh>
    <phoneticPr fontId="23"/>
  </si>
  <si>
    <t>11</t>
  </si>
  <si>
    <t>その他の教育費</t>
    <rPh sb="2" eb="3">
      <t>タ</t>
    </rPh>
    <rPh sb="4" eb="7">
      <t>キョウイクヒ</t>
    </rPh>
    <phoneticPr fontId="23"/>
  </si>
  <si>
    <t>12</t>
  </si>
  <si>
    <t>社会福祉費</t>
    <rPh sb="0" eb="2">
      <t>シャカイ</t>
    </rPh>
    <rPh sb="2" eb="5">
      <t>フクシヒ</t>
    </rPh>
    <phoneticPr fontId="23"/>
  </si>
  <si>
    <t>13</t>
  </si>
  <si>
    <t>保健衛生費</t>
    <rPh sb="0" eb="2">
      <t>ホケン</t>
    </rPh>
    <rPh sb="2" eb="5">
      <t>エイセイヒ</t>
    </rPh>
    <phoneticPr fontId="23"/>
  </si>
  <si>
    <t>14</t>
  </si>
  <si>
    <t>高齢者保健福祉費</t>
    <rPh sb="0" eb="3">
      <t>コウレイシャ</t>
    </rPh>
    <rPh sb="3" eb="5">
      <t>ホケン</t>
    </rPh>
    <rPh sb="5" eb="8">
      <t>フクシヒ</t>
    </rPh>
    <phoneticPr fontId="23"/>
  </si>
  <si>
    <t>65歳以上人口</t>
    <rPh sb="2" eb="3">
      <t>サイ</t>
    </rPh>
    <rPh sb="3" eb="5">
      <t>イジョウ</t>
    </rPh>
    <rPh sb="5" eb="7">
      <t>ジンコウ</t>
    </rPh>
    <phoneticPr fontId="23"/>
  </si>
  <si>
    <t>15</t>
  </si>
  <si>
    <t>清掃費</t>
    <rPh sb="0" eb="3">
      <t>セイソウヒ</t>
    </rPh>
    <phoneticPr fontId="23"/>
  </si>
  <si>
    <t>16</t>
  </si>
  <si>
    <t>農業行政費</t>
    <rPh sb="0" eb="2">
      <t>ノウギョウ</t>
    </rPh>
    <rPh sb="2" eb="5">
      <t>ギョウセイヒ</t>
    </rPh>
    <phoneticPr fontId="23"/>
  </si>
  <si>
    <t>農家数</t>
    <rPh sb="0" eb="2">
      <t>ノウカ</t>
    </rPh>
    <rPh sb="2" eb="3">
      <t>スウ</t>
    </rPh>
    <phoneticPr fontId="23"/>
  </si>
  <si>
    <t>17</t>
  </si>
  <si>
    <t>林野水産行政費</t>
    <rPh sb="0" eb="2">
      <t>リンヤ</t>
    </rPh>
    <rPh sb="2" eb="4">
      <t>スイサン</t>
    </rPh>
    <rPh sb="4" eb="7">
      <t>ギョウセイヒ</t>
    </rPh>
    <phoneticPr fontId="23"/>
  </si>
  <si>
    <t>林水業従業者数</t>
    <rPh sb="0" eb="3">
      <t>リンミズギョウ</t>
    </rPh>
    <rPh sb="3" eb="4">
      <t>ジュウ</t>
    </rPh>
    <rPh sb="4" eb="7">
      <t>ギョウシャスウ</t>
    </rPh>
    <phoneticPr fontId="23"/>
  </si>
  <si>
    <t>18</t>
  </si>
  <si>
    <t>地域振興費</t>
    <rPh sb="0" eb="2">
      <t>チイキ</t>
    </rPh>
    <rPh sb="2" eb="5">
      <t>シンコウヒ</t>
    </rPh>
    <phoneticPr fontId="23"/>
  </si>
  <si>
    <t>面積</t>
    <rPh sb="0" eb="2">
      <t>メンセキ</t>
    </rPh>
    <phoneticPr fontId="23"/>
  </si>
  <si>
    <t>19</t>
  </si>
  <si>
    <t>公債費</t>
    <rPh sb="0" eb="3">
      <t>コウサイヒ</t>
    </rPh>
    <phoneticPr fontId="23"/>
  </si>
  <si>
    <t>合計</t>
    <rPh sb="0" eb="2">
      <t>ゴウケイ</t>
    </rPh>
    <phoneticPr fontId="23"/>
  </si>
  <si>
    <t>分母につきましては、元利償還金・準元利償還金に係る基準財政需要額算入額が131304千円増加したものの、標準財政規模が277,258千円増加したため、全体で 145,954千円増加しております。
一方、分子につきましては、退職手当負担見込額の減等により、将来負担額が425,277千円減少したものの、充当可能基金額 825,754千円、地方債現在高等に係る基準財政需要額算入見込額 944,531千円の増加により、1,937,283千円の減少となったためでございます。</t>
    <rPh sb="0" eb="2">
      <t>ブンボ</t>
    </rPh>
    <rPh sb="42" eb="44">
      <t>センエン</t>
    </rPh>
    <rPh sb="44" eb="46">
      <t>ゾウカ</t>
    </rPh>
    <rPh sb="52" eb="54">
      <t>ヒョウジュン</t>
    </rPh>
    <rPh sb="54" eb="56">
      <t>ザイセイ</t>
    </rPh>
    <rPh sb="56" eb="58">
      <t>キボ</t>
    </rPh>
    <rPh sb="66" eb="68">
      <t>センエン</t>
    </rPh>
    <rPh sb="68" eb="70">
      <t>ゾウカ</t>
    </rPh>
    <rPh sb="75" eb="77">
      <t>ゼンタイ</t>
    </rPh>
    <rPh sb="86" eb="88">
      <t>センエン</t>
    </rPh>
    <rPh sb="88" eb="90">
      <t>ゾウカ</t>
    </rPh>
    <rPh sb="98" eb="100">
      <t>イッポウ</t>
    </rPh>
    <rPh sb="102" eb="103">
      <t>コ</t>
    </rPh>
    <rPh sb="111" eb="113">
      <t>タイショク</t>
    </rPh>
    <rPh sb="113" eb="115">
      <t>テア</t>
    </rPh>
    <rPh sb="115" eb="117">
      <t>フタン</t>
    </rPh>
    <rPh sb="117" eb="119">
      <t>ミコ</t>
    </rPh>
    <rPh sb="119" eb="120">
      <t>ガク</t>
    </rPh>
    <rPh sb="121" eb="122">
      <t>ゲン</t>
    </rPh>
    <rPh sb="122" eb="123">
      <t>トウ</t>
    </rPh>
    <rPh sb="127" eb="129">
      <t>ショウライ</t>
    </rPh>
    <rPh sb="129" eb="132">
      <t>フタンガク</t>
    </rPh>
    <rPh sb="140" eb="142">
      <t>センエン</t>
    </rPh>
    <rPh sb="142" eb="144">
      <t>ゲンショウ</t>
    </rPh>
    <rPh sb="165" eb="167">
      <t>センエン</t>
    </rPh>
    <rPh sb="198" eb="200">
      <t>センエン</t>
    </rPh>
    <rPh sb="201" eb="203">
      <t>ゾウカ</t>
    </rPh>
    <rPh sb="216" eb="218">
      <t>センエン</t>
    </rPh>
    <rPh sb="219" eb="221">
      <t>ゲンショウ</t>
    </rPh>
    <phoneticPr fontId="2"/>
  </si>
  <si>
    <t>分母につきましては、</t>
    <rPh sb="0" eb="2">
      <t>ブンボ</t>
    </rPh>
    <phoneticPr fontId="2"/>
  </si>
  <si>
    <t>((流動負債の額－控除企業債等－控除未払金等－控除額－控除引当金等－PFI 建設事業費等)+</t>
    <phoneticPr fontId="2"/>
  </si>
  <si>
    <t xml:space="preserve">建設改良費等以外の経費の財源に充てるために起こした地方債の決算における残高から、当該地方債のうち流動負債として整理されているものの現在高を控除した額-
</t>
    <rPh sb="5" eb="6">
      <t>トウ</t>
    </rPh>
    <rPh sb="6" eb="8">
      <t>イガイ</t>
    </rPh>
    <phoneticPr fontId="2"/>
  </si>
  <si>
    <t>(流動資産の額－控除財源－控除額＋貸倒引当金))-解消可能資金不足額</t>
    <phoneticPr fontId="2"/>
  </si>
  <si>
    <t>平成26年度将来負担比率について</t>
    <rPh sb="0" eb="2">
      <t>ヘイセイ</t>
    </rPh>
    <rPh sb="4" eb="6">
      <t>ネンド</t>
    </rPh>
    <rPh sb="6" eb="8">
      <t>ショウライ</t>
    </rPh>
    <rPh sb="8" eb="10">
      <t>フタン</t>
    </rPh>
    <rPh sb="10" eb="12">
      <t>ヒリツ</t>
    </rPh>
    <phoneticPr fontId="37"/>
  </si>
  <si>
    <t>病院事業会計</t>
    <phoneticPr fontId="37"/>
  </si>
  <si>
    <t>水道事業会計</t>
    <phoneticPr fontId="37"/>
  </si>
  <si>
    <t>公共下水道会計</t>
    <rPh sb="0" eb="2">
      <t>コウキョウ</t>
    </rPh>
    <rPh sb="2" eb="5">
      <t>ゲスイドウ</t>
    </rPh>
    <rPh sb="5" eb="7">
      <t>カイケイ</t>
    </rPh>
    <phoneticPr fontId="37"/>
  </si>
  <si>
    <t>　　　　資金不足比率</t>
    <phoneticPr fontId="2"/>
  </si>
  <si>
    <t>地方債の元利償還金</t>
    <rPh sb="0" eb="2">
      <t>チホウ</t>
    </rPh>
    <rPh sb="2" eb="3">
      <t>サイ</t>
    </rPh>
    <rPh sb="4" eb="6">
      <t>ガンリ</t>
    </rPh>
    <rPh sb="6" eb="8">
      <t>ショウカン</t>
    </rPh>
    <rPh sb="8" eb="9">
      <t>キン</t>
    </rPh>
    <phoneticPr fontId="2"/>
  </si>
  <si>
    <t>特定の収入に相当する額</t>
    <rPh sb="0" eb="2">
      <t>トクテイ</t>
    </rPh>
    <rPh sb="3" eb="5">
      <t>シュウニュウ</t>
    </rPh>
    <rPh sb="6" eb="8">
      <t>ソウトウ</t>
    </rPh>
    <rPh sb="10" eb="11">
      <t>ガク</t>
    </rPh>
    <phoneticPr fontId="2"/>
  </si>
  <si>
    <t>地方債の現在高</t>
    <rPh sb="0" eb="2">
      <t>チホウ</t>
    </rPh>
    <rPh sb="2" eb="3">
      <t>サイ</t>
    </rPh>
    <rPh sb="4" eb="6">
      <t>ゲンザイ</t>
    </rPh>
    <rPh sb="6" eb="7">
      <t>タカ</t>
    </rPh>
    <phoneticPr fontId="2"/>
  </si>
  <si>
    <t>公営企業債等繰入見込額</t>
    <phoneticPr fontId="2"/>
  </si>
  <si>
    <t>債務負担行為に基づく支出予定額</t>
    <phoneticPr fontId="2"/>
  </si>
  <si>
    <t>退職手当負担見込額</t>
    <rPh sb="0" eb="2">
      <t>タイショク</t>
    </rPh>
    <rPh sb="2" eb="4">
      <t>テアテ</t>
    </rPh>
    <rPh sb="4" eb="6">
      <t>フタン</t>
    </rPh>
    <rPh sb="6" eb="8">
      <t>ミコミ</t>
    </rPh>
    <rPh sb="8" eb="9">
      <t>ガク</t>
    </rPh>
    <phoneticPr fontId="2"/>
  </si>
  <si>
    <t>８ページ</t>
    <phoneticPr fontId="2"/>
  </si>
  <si>
    <t>１１ページ</t>
    <phoneticPr fontId="2"/>
  </si>
  <si>
    <t>稲沢西土地
区画整理事業</t>
    <phoneticPr fontId="2"/>
  </si>
  <si>
    <t>(３  か 年 平  均)</t>
    <rPh sb="6" eb="7">
      <t>ネン</t>
    </rPh>
    <rPh sb="8" eb="9">
      <t>ヒラ</t>
    </rPh>
    <rPh sb="11" eb="12">
      <t>ヒトシ</t>
    </rPh>
    <phoneticPr fontId="2"/>
  </si>
  <si>
    <t>控除額</t>
    <rPh sb="0" eb="2">
      <t>コウジョ</t>
    </rPh>
    <rPh sb="2" eb="3">
      <t>ガク</t>
    </rPh>
    <phoneticPr fontId="2"/>
  </si>
  <si>
    <t>C</t>
    <phoneticPr fontId="2"/>
  </si>
  <si>
    <t>E=A/(B+C-D)</t>
    <phoneticPr fontId="2"/>
  </si>
  <si>
    <t>F</t>
    <phoneticPr fontId="2"/>
  </si>
  <si>
    <t>H=F*G</t>
    <phoneticPr fontId="2"/>
  </si>
  <si>
    <t>I</t>
    <phoneticPr fontId="2"/>
  </si>
  <si>
    <t>J=H+I+J</t>
    <phoneticPr fontId="2"/>
  </si>
  <si>
    <t>平成27年度決算</t>
    <rPh sb="0" eb="2">
      <t>ヘイセイ</t>
    </rPh>
    <rPh sb="4" eb="6">
      <t>ネンド</t>
    </rPh>
    <rPh sb="6" eb="8">
      <t>ケッサン</t>
    </rPh>
    <phoneticPr fontId="37"/>
  </si>
  <si>
    <t>ごみ処理施設整備事業債など</t>
    <rPh sb="2" eb="4">
      <t>ショリ</t>
    </rPh>
    <rPh sb="4" eb="6">
      <t>シセツ</t>
    </rPh>
    <rPh sb="6" eb="8">
      <t>セイビ</t>
    </rPh>
    <rPh sb="8" eb="10">
      <t>ジギョウ</t>
    </rPh>
    <rPh sb="10" eb="11">
      <t>サイ</t>
    </rPh>
    <phoneticPr fontId="2"/>
  </si>
  <si>
    <t>臨時財政対策債</t>
    <rPh sb="0" eb="2">
      <t>リンジ</t>
    </rPh>
    <rPh sb="2" eb="4">
      <t>ザイセイ</t>
    </rPh>
    <rPh sb="4" eb="6">
      <t>タイサク</t>
    </rPh>
    <rPh sb="6" eb="7">
      <t>サイ</t>
    </rPh>
    <phoneticPr fontId="37"/>
  </si>
  <si>
    <t>合併特例債</t>
    <rPh sb="0" eb="2">
      <t>ガッペイ</t>
    </rPh>
    <rPh sb="2" eb="4">
      <t>トクレイ</t>
    </rPh>
    <rPh sb="4" eb="5">
      <t>サイ</t>
    </rPh>
    <phoneticPr fontId="37"/>
  </si>
  <si>
    <t>土木債</t>
    <rPh sb="0" eb="2">
      <t>ドボク</t>
    </rPh>
    <rPh sb="2" eb="3">
      <t>サイ</t>
    </rPh>
    <phoneticPr fontId="37"/>
  </si>
  <si>
    <t>衛生債</t>
    <rPh sb="0" eb="2">
      <t>エイセイ</t>
    </rPh>
    <rPh sb="2" eb="3">
      <t>サイ</t>
    </rPh>
    <phoneticPr fontId="37"/>
  </si>
  <si>
    <t>元利償還金・準元利償還金に係る基準財政需要額算入額</t>
    <phoneticPr fontId="2"/>
  </si>
  <si>
    <t>うち病院事業会計分</t>
    <rPh sb="2" eb="4">
      <t>ビョウイン</t>
    </rPh>
    <rPh sb="4" eb="6">
      <t>ジギョウ</t>
    </rPh>
    <rPh sb="6" eb="8">
      <t>カイケイ</t>
    </rPh>
    <rPh sb="8" eb="9">
      <t>ブン</t>
    </rPh>
    <phoneticPr fontId="37"/>
  </si>
  <si>
    <t xml:space="preserve">  普通交付税</t>
    <rPh sb="2" eb="4">
      <t>フツウ</t>
    </rPh>
    <rPh sb="4" eb="6">
      <t>コウフ</t>
    </rPh>
    <rPh sb="6" eb="7">
      <t>ゼイ</t>
    </rPh>
    <phoneticPr fontId="2"/>
  </si>
  <si>
    <t xml:space="preserve">  標準税収入額等</t>
    <phoneticPr fontId="2"/>
  </si>
  <si>
    <t>うち農業集落事業</t>
    <rPh sb="2" eb="4">
      <t>ノウギョウ</t>
    </rPh>
    <rPh sb="4" eb="6">
      <t>シュウラク</t>
    </rPh>
    <rPh sb="6" eb="8">
      <t>ジギョウ</t>
    </rPh>
    <phoneticPr fontId="37"/>
  </si>
  <si>
    <t>公営企業債等繰入見込額</t>
    <phoneticPr fontId="37"/>
  </si>
  <si>
    <t>うち公共下水道事業</t>
    <phoneticPr fontId="37"/>
  </si>
  <si>
    <t>　公営企業債等繰入見込額は、「企業債の残高」×「前３年の「元金償還金に対する準元金償還金の</t>
    <phoneticPr fontId="37"/>
  </si>
  <si>
    <t>割合」の平均」で求められる。</t>
    <phoneticPr fontId="37"/>
  </si>
  <si>
    <t>・③公営企業債等繰入見込額の増</t>
    <rPh sb="14" eb="15">
      <t>ゾウ</t>
    </rPh>
    <phoneticPr fontId="37"/>
  </si>
  <si>
    <t>退職手当負担見込額</t>
    <phoneticPr fontId="37"/>
  </si>
  <si>
    <t>求められる。ここ数年、長期勤続職員の退職が多いことから、退職手当負担見込額は年々減少して</t>
    <phoneticPr fontId="37"/>
  </si>
  <si>
    <t>いる。</t>
    <phoneticPr fontId="37"/>
  </si>
  <si>
    <t>・充当可能基金の増</t>
    <phoneticPr fontId="37"/>
  </si>
  <si>
    <t>充当可能基金</t>
    <phoneticPr fontId="37"/>
  </si>
  <si>
    <t>うち公債費</t>
    <rPh sb="2" eb="4">
      <t>コウサイ</t>
    </rPh>
    <rPh sb="4" eb="5">
      <t>ヒ</t>
    </rPh>
    <phoneticPr fontId="37"/>
  </si>
  <si>
    <t>うち道路橋りょう費</t>
    <rPh sb="2" eb="4">
      <t>ドウロ</t>
    </rPh>
    <rPh sb="4" eb="5">
      <t>キョウ</t>
    </rPh>
    <rPh sb="8" eb="9">
      <t>ヒ</t>
    </rPh>
    <phoneticPr fontId="37"/>
  </si>
  <si>
    <t>基準財政需要額算入見込額</t>
    <phoneticPr fontId="37"/>
  </si>
  <si>
    <t>　臨時財政対策債発行可能額、合併特例債の残高の増により、「公債費」での需要額算入見込額が</t>
    <phoneticPr fontId="37"/>
  </si>
  <si>
    <t>大きく伸びている。</t>
    <phoneticPr fontId="37"/>
  </si>
  <si>
    <t>・⑤退職手当負担見込額の減</t>
    <phoneticPr fontId="37"/>
  </si>
  <si>
    <t>地方債現在高等に係る基準財政需要額算入見込額</t>
    <phoneticPr fontId="2"/>
  </si>
  <si>
    <t>増減</t>
    <rPh sb="0" eb="2">
      <t>ゾウゲン</t>
    </rPh>
    <phoneticPr fontId="2"/>
  </si>
  <si>
    <t>26年度</t>
    <rPh sb="2" eb="4">
      <t>ネンド</t>
    </rPh>
    <phoneticPr fontId="2"/>
  </si>
  <si>
    <t>27年度</t>
    <rPh sb="2" eb="4">
      <t>ネンド</t>
    </rPh>
    <phoneticPr fontId="2"/>
  </si>
  <si>
    <t>⑩</t>
    <phoneticPr fontId="2"/>
  </si>
  <si>
    <t>⑪</t>
    <phoneticPr fontId="2"/>
  </si>
  <si>
    <t>密度補正により基準財政需要額に算入された元利償還金及び準元利償還金</t>
    <rPh sb="0" eb="2">
      <t>ミツド</t>
    </rPh>
    <rPh sb="2" eb="4">
      <t>ホセイ</t>
    </rPh>
    <rPh sb="7" eb="9">
      <t>キジュン</t>
    </rPh>
    <rPh sb="9" eb="11">
      <t>ザイセイ</t>
    </rPh>
    <rPh sb="11" eb="14">
      <t>ジュヨウガク</t>
    </rPh>
    <rPh sb="15" eb="17">
      <t>サンニュウ</t>
    </rPh>
    <rPh sb="20" eb="22">
      <t>ガンリ</t>
    </rPh>
    <rPh sb="22" eb="25">
      <t>ショウカンキン</t>
    </rPh>
    <rPh sb="25" eb="26">
      <t>オヨ</t>
    </rPh>
    <rPh sb="27" eb="28">
      <t>ジュン</t>
    </rPh>
    <rPh sb="28" eb="30">
      <t>ガンリ</t>
    </rPh>
    <rPh sb="30" eb="33">
      <t>ショウカンキン</t>
    </rPh>
    <phoneticPr fontId="1"/>
  </si>
  <si>
    <t>①+②+③+④+⑤+⑥+⑦-⑧-⑨-⑩-⑪</t>
  </si>
  <si>
    <t>①+②+③+④+⑤+⑥+⑦-⑧-⑨-⑩-⑪</t>
    <phoneticPr fontId="2"/>
  </si>
  <si>
    <t>⑫</t>
    <phoneticPr fontId="2"/>
  </si>
  <si>
    <t>⑬</t>
    <phoneticPr fontId="2"/>
  </si>
  <si>
    <t>⑭</t>
    <phoneticPr fontId="2"/>
  </si>
  <si>
    <t>⑮</t>
    <phoneticPr fontId="2"/>
  </si>
  <si>
    <t>⑫+⑬+⑭-⑨-⑩-⑪</t>
  </si>
  <si>
    <t>⑫+⑬+⑭-⑨-⑩-⑪</t>
    <phoneticPr fontId="2"/>
  </si>
  <si>
    <t>下記表の⑨～⑪の額の合計</t>
    <rPh sb="0" eb="2">
      <t>カキ</t>
    </rPh>
    <rPh sb="2" eb="3">
      <t>オモテ</t>
    </rPh>
    <rPh sb="8" eb="9">
      <t>ガク</t>
    </rPh>
    <rPh sb="10" eb="12">
      <t>ゴウケイ</t>
    </rPh>
    <phoneticPr fontId="2"/>
  </si>
  <si>
    <t>下記表の⑫～⑭の額の合計</t>
    <rPh sb="0" eb="2">
      <t>カキ</t>
    </rPh>
    <rPh sb="2" eb="3">
      <t>オモテ</t>
    </rPh>
    <rPh sb="8" eb="9">
      <t>ガク</t>
    </rPh>
    <rPh sb="10" eb="12">
      <t>ゴウケイ</t>
    </rPh>
    <phoneticPr fontId="2"/>
  </si>
  <si>
    <t>・　Ｃ＝</t>
    <phoneticPr fontId="2"/>
  </si>
  <si>
    <t>・　Ｄ＝</t>
    <phoneticPr fontId="2"/>
  </si>
  <si>
    <t>平成28年度決算</t>
    <rPh sb="0" eb="2">
      <t>ヘイセイ</t>
    </rPh>
    <rPh sb="4" eb="6">
      <t>ネンド</t>
    </rPh>
    <rPh sb="6" eb="8">
      <t>ケッサン</t>
    </rPh>
    <phoneticPr fontId="37"/>
  </si>
  <si>
    <t xml:space="preserve">  臨時財政対策債発行可能額</t>
    <rPh sb="2" eb="4">
      <t>リンジ</t>
    </rPh>
    <rPh sb="4" eb="6">
      <t>ザイセイ</t>
    </rPh>
    <rPh sb="6" eb="8">
      <t>タイサク</t>
    </rPh>
    <rPh sb="8" eb="9">
      <t>サイ</t>
    </rPh>
    <rPh sb="9" eb="11">
      <t>ハッコウ</t>
    </rPh>
    <rPh sb="11" eb="13">
      <t>カノウ</t>
    </rPh>
    <rPh sb="13" eb="14">
      <t>ガク</t>
    </rPh>
    <phoneticPr fontId="2"/>
  </si>
  <si>
    <t>教育債</t>
    <rPh sb="0" eb="2">
      <t>キョウイク</t>
    </rPh>
    <rPh sb="2" eb="3">
      <t>サイ</t>
    </rPh>
    <phoneticPr fontId="2"/>
  </si>
  <si>
    <t xml:space="preserve">   民生債</t>
    <rPh sb="3" eb="5">
      <t>ミンセイ</t>
    </rPh>
    <rPh sb="5" eb="6">
      <t>サイ</t>
    </rPh>
    <phoneticPr fontId="2"/>
  </si>
  <si>
    <t>平成27度決算</t>
    <rPh sb="0" eb="2">
      <t>ヘイセイ</t>
    </rPh>
    <rPh sb="4" eb="5">
      <t>ド</t>
    </rPh>
    <rPh sb="5" eb="7">
      <t>ケッサン</t>
    </rPh>
    <phoneticPr fontId="37"/>
  </si>
  <si>
    <t>　病院事業の増については、元金残高が、H27:7,968,588千円→H28:8,079,363千円と増加したこと</t>
    <rPh sb="1" eb="5">
      <t>ビョウインジギョウ</t>
    </rPh>
    <rPh sb="6" eb="7">
      <t>ゾウ</t>
    </rPh>
    <rPh sb="13" eb="15">
      <t>ガンキン</t>
    </rPh>
    <rPh sb="15" eb="17">
      <t>ザンダカ</t>
    </rPh>
    <rPh sb="48" eb="49">
      <t>セン</t>
    </rPh>
    <rPh sb="49" eb="50">
      <t>エン</t>
    </rPh>
    <rPh sb="51" eb="53">
      <t>ゾウカ</t>
    </rPh>
    <phoneticPr fontId="37"/>
  </si>
  <si>
    <t>による。また、公共下水道事業の増については、元金残高が、H27:16,387,526→H28:15,746,994千円</t>
    <rPh sb="15" eb="16">
      <t>ゾウ</t>
    </rPh>
    <rPh sb="22" eb="24">
      <t>ガンキン</t>
    </rPh>
    <rPh sb="57" eb="59">
      <t>センエン</t>
    </rPh>
    <phoneticPr fontId="37"/>
  </si>
  <si>
    <t>と減少したことによる。</t>
    <phoneticPr fontId="37"/>
  </si>
  <si>
    <t>　新規積立として財政調整基金510,000千円、公共施設整備基金500,000千円を積み増ししたことなどにより、</t>
    <rPh sb="1" eb="3">
      <t>シンキ</t>
    </rPh>
    <rPh sb="3" eb="5">
      <t>ツミタテ</t>
    </rPh>
    <rPh sb="8" eb="10">
      <t>ザイセイ</t>
    </rPh>
    <rPh sb="10" eb="12">
      <t>チョウセイ</t>
    </rPh>
    <rPh sb="12" eb="14">
      <t>キキン</t>
    </rPh>
    <rPh sb="21" eb="23">
      <t>センエン</t>
    </rPh>
    <rPh sb="24" eb="26">
      <t>コウキョウ</t>
    </rPh>
    <rPh sb="26" eb="28">
      <t>シセツ</t>
    </rPh>
    <rPh sb="28" eb="30">
      <t>セイビ</t>
    </rPh>
    <rPh sb="30" eb="32">
      <t>キキン</t>
    </rPh>
    <rPh sb="39" eb="41">
      <t>センエン</t>
    </rPh>
    <rPh sb="42" eb="43">
      <t>ツ</t>
    </rPh>
    <rPh sb="44" eb="45">
      <t>マ</t>
    </rPh>
    <phoneticPr fontId="37"/>
  </si>
  <si>
    <t>基金残高が増加した。</t>
    <rPh sb="5" eb="7">
      <t>ゾウカ</t>
    </rPh>
    <phoneticPr fontId="2"/>
  </si>
  <si>
    <t>うち保健衛生費</t>
    <rPh sb="2" eb="4">
      <t>ホケン</t>
    </rPh>
    <rPh sb="4" eb="6">
      <t>エイセイ</t>
    </rPh>
    <rPh sb="6" eb="7">
      <t>ヒ</t>
    </rPh>
    <phoneticPr fontId="37"/>
  </si>
  <si>
    <t>うち下水道費</t>
    <rPh sb="2" eb="5">
      <t>ゲスイドウ</t>
    </rPh>
    <rPh sb="5" eb="6">
      <t>ヒ</t>
    </rPh>
    <phoneticPr fontId="37"/>
  </si>
  <si>
    <t xml:space="preserve">  次に、１５ページの中段をお願いいたします。「資金不足比率」につきましては、 各会計とも「連結実質赤字比率｣で申し上げましたように、資金の不足額が生じていないため、資金不足比率は算定されないものでございまして、「－」(バー)表示をさせていただいております。なお、参考までに、公営企業の経営の健全化を図るべき基準である「経営健全化基準｣は 20.00でございます。
</t>
    <phoneticPr fontId="2"/>
  </si>
  <si>
    <t xml:space="preserve">  まず、企業会計の資金不足比率は、病院事業会計 △21.99、4.26ポイントの増、水道事業会計 △168.86、31.33ポイントの増、公共下水道会計 △63.68、1.48ポイントの減、農業集落排水事業(一般会計繰入金 77,664千円→54,000千円) △6.81、5.42ポイントの増、稲沢西区画整理事業  △197.66、82.83ポイントの増、下津陸田土地区画整理事業については、事業の終息により、分母となる事業の規模が0千円となっておりますので、－表示となっております。 
  なお、健全化判断比率の推移については、次ページございますので、ご参照をお願いします。
　以上で、説明を終わらせていただきます。</t>
    <rPh sb="5" eb="7">
      <t>キギョウ</t>
    </rPh>
    <rPh sb="7" eb="9">
      <t>カイケイ</t>
    </rPh>
    <rPh sb="10" eb="12">
      <t>シキン</t>
    </rPh>
    <rPh sb="12" eb="14">
      <t>フソク</t>
    </rPh>
    <rPh sb="14" eb="16">
      <t>ヒリツ</t>
    </rPh>
    <rPh sb="18" eb="20">
      <t>ビョウイン</t>
    </rPh>
    <rPh sb="20" eb="22">
      <t>ジギョウ</t>
    </rPh>
    <rPh sb="22" eb="24">
      <t>カイケイ</t>
    </rPh>
    <rPh sb="41" eb="42">
      <t>ゾウ</t>
    </rPh>
    <rPh sb="43" eb="45">
      <t>スイドウ</t>
    </rPh>
    <rPh sb="45" eb="47">
      <t>ジギョウ</t>
    </rPh>
    <rPh sb="47" eb="49">
      <t>カイケイ</t>
    </rPh>
    <rPh sb="68" eb="69">
      <t>ゾウ</t>
    </rPh>
    <rPh sb="70" eb="72">
      <t>コウキョウ</t>
    </rPh>
    <rPh sb="72" eb="75">
      <t>ゲスイドウ</t>
    </rPh>
    <rPh sb="75" eb="77">
      <t>カイケイ</t>
    </rPh>
    <rPh sb="96" eb="98">
      <t>ノウギョウ</t>
    </rPh>
    <rPh sb="98" eb="100">
      <t>シュウラク</t>
    </rPh>
    <rPh sb="100" eb="102">
      <t>ハイスイ</t>
    </rPh>
    <rPh sb="102" eb="104">
      <t>ジギョウ</t>
    </rPh>
    <rPh sb="105" eb="107">
      <t>イッパン</t>
    </rPh>
    <rPh sb="107" eb="109">
      <t>カイケイ</t>
    </rPh>
    <rPh sb="109" eb="110">
      <t>ク</t>
    </rPh>
    <rPh sb="110" eb="111">
      <t>イ</t>
    </rPh>
    <rPh sb="111" eb="112">
      <t>キン</t>
    </rPh>
    <rPh sb="119" eb="121">
      <t>センエン</t>
    </rPh>
    <rPh sb="128" eb="130">
      <t>センエン</t>
    </rPh>
    <rPh sb="178" eb="179">
      <t>ゾウ</t>
    </rPh>
    <rPh sb="180" eb="181">
      <t>シタ</t>
    </rPh>
    <rPh sb="181" eb="182">
      <t>ツ</t>
    </rPh>
    <rPh sb="182" eb="183">
      <t>リク</t>
    </rPh>
    <rPh sb="183" eb="184">
      <t>タ</t>
    </rPh>
    <rPh sb="184" eb="186">
      <t>トチ</t>
    </rPh>
    <rPh sb="186" eb="188">
      <t>クカク</t>
    </rPh>
    <rPh sb="198" eb="200">
      <t>ジギョウ</t>
    </rPh>
    <rPh sb="201" eb="203">
      <t>シュウソク</t>
    </rPh>
    <rPh sb="207" eb="209">
      <t>ブンボ</t>
    </rPh>
    <rPh sb="212" eb="214">
      <t>ジギョウ</t>
    </rPh>
    <rPh sb="215" eb="217">
      <t>キボ</t>
    </rPh>
    <rPh sb="219" eb="221">
      <t>センエン</t>
    </rPh>
    <rPh sb="233" eb="235">
      <t>ヒョウジ</t>
    </rPh>
    <rPh sb="251" eb="254">
      <t>ケンゼンカ</t>
    </rPh>
    <rPh sb="254" eb="256">
      <t>ハンダン</t>
    </rPh>
    <rPh sb="256" eb="258">
      <t>ヒリツ</t>
    </rPh>
    <rPh sb="259" eb="261">
      <t>スイイ</t>
    </rPh>
    <rPh sb="280" eb="282">
      <t>サンショウ</t>
    </rPh>
    <rPh sb="284" eb="285">
      <t>ネガ</t>
    </rPh>
    <rPh sb="292" eb="294">
      <t>イジョウ</t>
    </rPh>
    <rPh sb="296" eb="298">
      <t>セツメイ</t>
    </rPh>
    <rPh sb="299" eb="300">
      <t>オ</t>
    </rPh>
    <phoneticPr fontId="2"/>
  </si>
  <si>
    <t>－</t>
    <phoneticPr fontId="37"/>
  </si>
  <si>
    <t>－</t>
    <phoneticPr fontId="37"/>
  </si>
  <si>
    <t>流動負債の額－控除企業債等－控除未払金等－控除額－PFI 建設事業費等</t>
    <rPh sb="0" eb="2">
      <t>リュウドウ</t>
    </rPh>
    <rPh sb="2" eb="4">
      <t>フサイ</t>
    </rPh>
    <rPh sb="5" eb="6">
      <t>ガク</t>
    </rPh>
    <rPh sb="7" eb="9">
      <t>コウジョ</t>
    </rPh>
    <rPh sb="9" eb="11">
      <t>キギョウ</t>
    </rPh>
    <rPh sb="11" eb="13">
      <t>サイトウ</t>
    </rPh>
    <rPh sb="14" eb="16">
      <t>コウジョ</t>
    </rPh>
    <rPh sb="16" eb="17">
      <t>ミ</t>
    </rPh>
    <rPh sb="17" eb="18">
      <t>バライ</t>
    </rPh>
    <rPh sb="18" eb="20">
      <t>キンナド</t>
    </rPh>
    <rPh sb="21" eb="23">
      <t>コウジョ</t>
    </rPh>
    <rPh sb="23" eb="24">
      <t>ガク</t>
    </rPh>
    <rPh sb="29" eb="31">
      <t>ケンセツ</t>
    </rPh>
    <rPh sb="31" eb="34">
      <t>ジギョウヒ</t>
    </rPh>
    <rPh sb="34" eb="35">
      <t>トウ</t>
    </rPh>
    <phoneticPr fontId="2"/>
  </si>
  <si>
    <t>流動資産の額－控除財源－控除額</t>
    <rPh sb="0" eb="2">
      <t>リュウドウ</t>
    </rPh>
    <rPh sb="2" eb="4">
      <t>シサン</t>
    </rPh>
    <rPh sb="5" eb="6">
      <t>ガク</t>
    </rPh>
    <rPh sb="7" eb="9">
      <t>コウジョ</t>
    </rPh>
    <rPh sb="9" eb="11">
      <t>ザイゲン</t>
    </rPh>
    <rPh sb="12" eb="14">
      <t>コウジョ</t>
    </rPh>
    <rPh sb="14" eb="15">
      <t>ガク</t>
    </rPh>
    <phoneticPr fontId="2"/>
  </si>
  <si>
    <t>④　公営企業に要する経費の財源とする地方債の償還の財源に充てたと認められる繰入金</t>
    <phoneticPr fontId="2"/>
  </si>
  <si>
    <r>
      <t xml:space="preserve">  平成28年度決算に基づく健全化判断比率・資金不足比率について、お手元の報告書に基づき、平成28年度決算の「実質赤字比率・連結実質赤字比率・実質公債費比率・将来負担比率」の４指標及び資金不足比率の主な内容、改正点について、ご説明させていただきます。
  まず、1ページをお願いします。
  「</t>
    </r>
    <r>
      <rPr>
        <b/>
        <sz val="10"/>
        <color indexed="10"/>
        <rFont val="ＭＳ 明朝"/>
        <family val="1"/>
        <charset val="128"/>
      </rPr>
      <t>実質赤字比率</t>
    </r>
    <r>
      <rPr>
        <sz val="10"/>
        <color indexed="10"/>
        <rFont val="ＭＳ 明朝"/>
        <family val="1"/>
        <charset val="128"/>
      </rPr>
      <t>」につきましては、標準財政規模に対する、一般会計等を対象とした実質赤字額の比率でございます。本市の場合、「一般会計等」といたしまして、一般会計、祖父江霊園事業特別会計及びコミュニティ･プラント事業特別会計の３会計が対象となりますが、３会計とも黒字決算のため、実質赤字額が生じておらず、実質赤字比率は算定されないため、「－」(バー)表示をさせていただいております。
  なお、マイナス表示した場合は、△7.20%、前年度の△6.93%から0.27ポイント減しております。
  次に「</t>
    </r>
    <r>
      <rPr>
        <b/>
        <sz val="10"/>
        <color indexed="10"/>
        <rFont val="ＭＳ 明朝"/>
        <family val="1"/>
        <charset val="128"/>
      </rPr>
      <t>連結実質赤字比率</t>
    </r>
    <r>
      <rPr>
        <sz val="10"/>
        <color indexed="10"/>
        <rFont val="ＭＳ 明朝"/>
        <family val="1"/>
        <charset val="128"/>
      </rPr>
      <t>」につきましては、標準財政規模に対する、全会計を対象とした実質赤字額又は資金の不足額の比率でございます。一般会計等と企業会計を除いた特別会計とも黒字決算のため、実質赤字額が生じず、また、病院事業・水道事業・公共下水道事業の法適用企業会計、農業集落排水事業・稲沢西土地区画整理事業・下津陸田土地区画整理事業の法非適用企業会計とも資金の不足額が生じないため、実質赤字比率と同様、連結実質赤字比率は算定されないため、「－」(バー)表示をさせていただいております。
  なお、マイナス表示した場合は、△32.75%、前年度の△35.59%から2.84ポイント増しております。</t>
    </r>
    <rPh sb="2" eb="4">
      <t>ヘイセイ</t>
    </rPh>
    <rPh sb="6" eb="8">
      <t>ネンド</t>
    </rPh>
    <rPh sb="8" eb="10">
      <t>ケッサン</t>
    </rPh>
    <rPh sb="11" eb="12">
      <t>モト</t>
    </rPh>
    <rPh sb="14" eb="17">
      <t>ケンゼンカ</t>
    </rPh>
    <rPh sb="17" eb="19">
      <t>ハンダン</t>
    </rPh>
    <rPh sb="19" eb="21">
      <t>ヒリツ</t>
    </rPh>
    <rPh sb="22" eb="24">
      <t>シキン</t>
    </rPh>
    <rPh sb="24" eb="26">
      <t>フソク</t>
    </rPh>
    <rPh sb="26" eb="28">
      <t>ヒリツ</t>
    </rPh>
    <rPh sb="34" eb="36">
      <t>テモト</t>
    </rPh>
    <rPh sb="37" eb="39">
      <t>ホウコク</t>
    </rPh>
    <rPh sb="39" eb="40">
      <t>ショ</t>
    </rPh>
    <rPh sb="41" eb="42">
      <t>モト</t>
    </rPh>
    <rPh sb="90" eb="91">
      <t>オヨ</t>
    </rPh>
    <rPh sb="92" eb="94">
      <t>シキン</t>
    </rPh>
    <rPh sb="94" eb="96">
      <t>フソク</t>
    </rPh>
    <rPh sb="96" eb="98">
      <t>ヒリツ</t>
    </rPh>
    <rPh sb="137" eb="138">
      <t>ネガ</t>
    </rPh>
    <rPh sb="199" eb="200">
      <t>ホン</t>
    </rPh>
    <rPh sb="344" eb="346">
      <t>ヒョウジ</t>
    </rPh>
    <rPh sb="348" eb="350">
      <t>バアイ</t>
    </rPh>
    <rPh sb="359" eb="361">
      <t>ゼンネン</t>
    </rPh>
    <rPh sb="361" eb="362">
      <t>ド</t>
    </rPh>
    <rPh sb="379" eb="380">
      <t>ゲン</t>
    </rPh>
    <rPh sb="676" eb="677">
      <t>ゾウ</t>
    </rPh>
    <phoneticPr fontId="2"/>
  </si>
  <si>
    <r>
      <t xml:space="preserve">  次に、</t>
    </r>
    <r>
      <rPr>
        <b/>
        <sz val="10"/>
        <color indexed="10"/>
        <rFont val="ＭＳ 明朝"/>
        <family val="1"/>
        <charset val="128"/>
      </rPr>
      <t>「実質公債費比率」</t>
    </r>
    <r>
      <rPr>
        <sz val="10"/>
        <color indexed="10"/>
        <rFont val="ＭＳ 明朝"/>
        <family val="1"/>
        <charset val="128"/>
      </rPr>
      <t xml:space="preserve">につきましては、標準財政規模に対する、一般会計等が負担する元利償還金等の比率の３カ年の平均でございます。元利償還金の他、公営企業債の償還に充てたと認められる一般会計等からの繰出金、公債費に準ずる債務負担行為に基づく支出などが算定されるものでございます。
  ８ページをお願いします。
  単年度比率は、平成26年度　2.7、平成27年度　3.4、平成28年度　2.9となり、この３カ年平均の 3.0が平成28年度決算に基づく実質公債費比率となります。前年度の 3.9から 0.9ポイント下がっております。
  単年度で減となった要因といたしましては、地方債の元利償還金・準元利償還金に係る基準財政需要額算入見込額の増などが挙げられます。
 具体的には、分子では、地方債の元利償還金が161,543千円増したものの、元利償還金・準元利償還金に係る基準財政需要額算入見込額が303,095千円の減等により、122,053千円の減となり、分母では、標準財政規模が187,448千円の増となったものの、元利償還金・準元利償還金に係る基準財政需要額算入見込額が303,095千円の減になったため、前年度から115,647千円の減となっており、分子の減の比率が分母の減の比率よりも高かったため、前年度から0.5ポイント減の3.0％となっております。
  ３カ年平均では、公債費が高かった影響で平成25年度が5.7であり、これに代わり平成28年度が3.0になったため、0.9ポイントの減となったものです。
</t>
    </r>
    <rPh sb="269" eb="270">
      <t>タン</t>
    </rPh>
    <rPh sb="270" eb="272">
      <t>ネンド</t>
    </rPh>
    <rPh sb="273" eb="274">
      <t>ゲン</t>
    </rPh>
    <rPh sb="334" eb="336">
      <t>グタイ</t>
    </rPh>
    <rPh sb="336" eb="337">
      <t>テキ</t>
    </rPh>
    <rPh sb="345" eb="347">
      <t>チホウ</t>
    </rPh>
    <rPh sb="347" eb="348">
      <t>サイ</t>
    </rPh>
    <rPh sb="364" eb="365">
      <t>ゾウ</t>
    </rPh>
    <rPh sb="406" eb="408">
      <t>センエン</t>
    </rPh>
    <rPh sb="409" eb="410">
      <t>ゲン</t>
    </rPh>
    <rPh sb="410" eb="411">
      <t>トウ</t>
    </rPh>
    <rPh sb="425" eb="426">
      <t>ゲン</t>
    </rPh>
    <rPh sb="507" eb="510">
      <t>ゼンネンド</t>
    </rPh>
    <rPh sb="519" eb="521">
      <t>センエン</t>
    </rPh>
    <rPh sb="522" eb="523">
      <t>ゲン</t>
    </rPh>
    <rPh sb="530" eb="532">
      <t>ブンシ</t>
    </rPh>
    <rPh sb="533" eb="534">
      <t>ゲン</t>
    </rPh>
    <rPh sb="535" eb="537">
      <t>ヒリツ</t>
    </rPh>
    <rPh sb="538" eb="540">
      <t>ブンボ</t>
    </rPh>
    <rPh sb="541" eb="542">
      <t>ゲン</t>
    </rPh>
    <rPh sb="543" eb="545">
      <t>ヒリツ</t>
    </rPh>
    <rPh sb="548" eb="549">
      <t>タカ</t>
    </rPh>
    <rPh sb="587" eb="588">
      <t>ネン</t>
    </rPh>
    <rPh sb="588" eb="590">
      <t>ヘイキン</t>
    </rPh>
    <rPh sb="593" eb="596">
      <t>コウサイヒ</t>
    </rPh>
    <rPh sb="597" eb="598">
      <t>タカ</t>
    </rPh>
    <rPh sb="601" eb="603">
      <t>エイキョウ</t>
    </rPh>
    <rPh sb="604" eb="606">
      <t>ヘイセイ</t>
    </rPh>
    <rPh sb="608" eb="610">
      <t>ネンド</t>
    </rPh>
    <rPh sb="621" eb="622">
      <t>カ</t>
    </rPh>
    <rPh sb="624" eb="626">
      <t>ヘイセイ</t>
    </rPh>
    <rPh sb="628" eb="630">
      <t>ネンド</t>
    </rPh>
    <rPh sb="649" eb="650">
      <t>ゲン</t>
    </rPh>
    <phoneticPr fontId="2"/>
  </si>
  <si>
    <r>
      <t xml:space="preserve">   １１ページをお願いします。 
　次に、</t>
    </r>
    <r>
      <rPr>
        <b/>
        <sz val="10"/>
        <color indexed="10"/>
        <rFont val="ＭＳ 明朝"/>
        <family val="1"/>
        <charset val="128"/>
      </rPr>
      <t>「将来負担比率」</t>
    </r>
    <r>
      <rPr>
        <sz val="10"/>
        <color indexed="10"/>
        <rFont val="ＭＳ 明朝"/>
        <family val="1"/>
        <charset val="128"/>
      </rPr>
      <t>につきましては、標準財政規模に対する、一般会計等が将来負担すべき実質的な負債の比率でございます。地方債残高や職員の退職手当金のほか、債務負担行為に基づく支出予定額、公営企業債等への繰出見込額等から算定されるものでございます。平成28年度決算に基づく将来負担比率は 7.2となり、前年度の 15.8から 8.6ポイント下がっております。
  要因といたしましては、公営企業債等繰入見込額や退職手当負担見込額の減少による将来負担額の減や、充当可能基金額の増などが挙げられます。
　１ページをお願いします。 
  地方公共団体が財政収支の不均衡な状況、その他財政状況が悪化した状況において、自主的かつ計画的に財政の健全化を図るべき基準である「早期健全化基準」につきましては、実質赤字比率が　11.87、連結実質赤字比率が　16.87、実質公債費比率が　25.0、将来負担比率が　350.0でございますので、いずれも基準を下回っております。なお、「財政再生基準」につきましても、実質赤字比率が　20.00、連結実質赤字比率が　30.00、実質公債費比率が　35.0でございますので、いずれも基準を下回っております。</t>
    </r>
    <rPh sb="87" eb="89">
      <t>タイショク</t>
    </rPh>
    <rPh sb="89" eb="91">
      <t>テアテ</t>
    </rPh>
    <rPh sb="188" eb="189">
      <t>サ</t>
    </rPh>
    <rPh sb="223" eb="225">
      <t>タイショク</t>
    </rPh>
    <rPh sb="225" eb="227">
      <t>テアテ</t>
    </rPh>
    <rPh sb="227" eb="229">
      <t>フタン</t>
    </rPh>
    <rPh sb="229" eb="232">
      <t>ミコミガク</t>
    </rPh>
    <rPh sb="233" eb="235">
      <t>ゲンショウ</t>
    </rPh>
    <rPh sb="244" eb="245">
      <t>ゲン</t>
    </rPh>
    <rPh sb="255" eb="256">
      <t>ゾウ</t>
    </rPh>
    <rPh sb="450" eb="452">
      <t>ザイセイ</t>
    </rPh>
    <rPh sb="452" eb="454">
      <t>サイセイ</t>
    </rPh>
    <phoneticPr fontId="2"/>
  </si>
  <si>
    <t>平成２９年度決算に基づく健全化判断比率・資金不足比率について</t>
    <phoneticPr fontId="2"/>
  </si>
  <si>
    <t>経常収益</t>
    <rPh sb="0" eb="2">
      <t>ケイジョウ</t>
    </rPh>
    <rPh sb="2" eb="4">
      <t>シュウエキ</t>
    </rPh>
    <phoneticPr fontId="2"/>
  </si>
  <si>
    <t>有</t>
    <rPh sb="0" eb="1">
      <t>ア</t>
    </rPh>
    <phoneticPr fontId="2"/>
  </si>
  <si>
    <t>①　地方債の現在高　＝　一般会計等の前年度末における地方債現在高</t>
    <rPh sb="2" eb="4">
      <t>チホウ</t>
    </rPh>
    <rPh sb="4" eb="5">
      <t>サイ</t>
    </rPh>
    <rPh sb="6" eb="9">
      <t>ゲンザイダカ</t>
    </rPh>
    <rPh sb="12" eb="14">
      <t>イッパン</t>
    </rPh>
    <rPh sb="14" eb="17">
      <t>カイケイトウ</t>
    </rPh>
    <rPh sb="18" eb="21">
      <t>ゼンネンド</t>
    </rPh>
    <rPh sb="21" eb="22">
      <t>マツ</t>
    </rPh>
    <rPh sb="26" eb="29">
      <t>チホウサイ</t>
    </rPh>
    <rPh sb="29" eb="32">
      <t>ゲンザイダカ</t>
    </rPh>
    <phoneticPr fontId="2"/>
  </si>
  <si>
    <t>経常収益がない場合はⅠとＪ(繰出基準で元金償還金へ繰出予定の債務残高)のうちいずれか大きい額</t>
    <phoneticPr fontId="2"/>
  </si>
  <si>
    <t>事業費補正(準元利償還金)</t>
    <rPh sb="0" eb="3">
      <t>ジギョウヒ</t>
    </rPh>
    <rPh sb="3" eb="5">
      <t>ホセイ</t>
    </rPh>
    <rPh sb="6" eb="7">
      <t>ジュン</t>
    </rPh>
    <rPh sb="7" eb="9">
      <t>ガンリ</t>
    </rPh>
    <rPh sb="9" eb="12">
      <t>ショウカンキン</t>
    </rPh>
    <phoneticPr fontId="2"/>
  </si>
  <si>
    <t>災害復旧費等(準元利償還金)</t>
    <rPh sb="0" eb="2">
      <t>サイガイ</t>
    </rPh>
    <rPh sb="2" eb="4">
      <t>フッキュウ</t>
    </rPh>
    <rPh sb="4" eb="6">
      <t>ヒナド</t>
    </rPh>
    <rPh sb="7" eb="8">
      <t>ジュン</t>
    </rPh>
    <rPh sb="8" eb="10">
      <t>ガンリ</t>
    </rPh>
    <rPh sb="10" eb="13">
      <t>ショウカンキン</t>
    </rPh>
    <phoneticPr fontId="2"/>
  </si>
  <si>
    <t>密度補正(準元利償還金)</t>
    <rPh sb="0" eb="2">
      <t>ミツド</t>
    </rPh>
    <rPh sb="2" eb="4">
      <t>ホセイ</t>
    </rPh>
    <rPh sb="5" eb="6">
      <t>ジュン</t>
    </rPh>
    <rPh sb="6" eb="8">
      <t>ガンリ</t>
    </rPh>
    <rPh sb="8" eb="11">
      <t>ショウカンキン</t>
    </rPh>
    <phoneticPr fontId="2"/>
  </si>
  <si>
    <t>地方財政法第６条(施行令第46条)の公営企業に係る特別会計のうち①以外のもの</t>
    <rPh sb="0" eb="2">
      <t>チホウ</t>
    </rPh>
    <rPh sb="2" eb="4">
      <t>ザイセイ</t>
    </rPh>
    <rPh sb="4" eb="5">
      <t>ホウ</t>
    </rPh>
    <rPh sb="5" eb="6">
      <t>ダイ</t>
    </rPh>
    <rPh sb="7" eb="8">
      <t>ジョウ</t>
    </rPh>
    <rPh sb="9" eb="11">
      <t>セコウ</t>
    </rPh>
    <rPh sb="11" eb="12">
      <t>レイ</t>
    </rPh>
    <rPh sb="12" eb="13">
      <t>ダイ</t>
    </rPh>
    <rPh sb="15" eb="16">
      <t>ジョウ</t>
    </rPh>
    <rPh sb="18" eb="20">
      <t>コウエイ</t>
    </rPh>
    <rPh sb="20" eb="22">
      <t>キギョウ</t>
    </rPh>
    <rPh sb="23" eb="24">
      <t>カカ</t>
    </rPh>
    <rPh sb="25" eb="27">
      <t>トクベツ</t>
    </rPh>
    <rPh sb="27" eb="29">
      <t>カイケイ</t>
    </rPh>
    <rPh sb="33" eb="35">
      <t>イガイ</t>
    </rPh>
    <phoneticPr fontId="2"/>
  </si>
  <si>
    <t>地方財政法施行令第２２条の額</t>
    <rPh sb="11" eb="12">
      <t>ジョウ</t>
    </rPh>
    <rPh sb="13" eb="14">
      <t>ガク</t>
    </rPh>
    <phoneticPr fontId="2"/>
  </si>
  <si>
    <t>地方財政法施行令第２２条の額</t>
    <rPh sb="0" eb="2">
      <t>チホウ</t>
    </rPh>
    <rPh sb="2" eb="4">
      <t>ザイセイ</t>
    </rPh>
    <rPh sb="4" eb="5">
      <t>ホウ</t>
    </rPh>
    <rPh sb="5" eb="7">
      <t>セコウ</t>
    </rPh>
    <rPh sb="7" eb="8">
      <t>レイ</t>
    </rPh>
    <rPh sb="8" eb="9">
      <t>ダイ</t>
    </rPh>
    <rPh sb="11" eb="12">
      <t>ジョウ</t>
    </rPh>
    <rPh sb="13" eb="14">
      <t>ガク</t>
    </rPh>
    <phoneticPr fontId="2"/>
  </si>
  <si>
    <t>その他これらに準ずると認められるもの（省令第７条第８号）</t>
    <rPh sb="2" eb="3">
      <t>タ</t>
    </rPh>
    <rPh sb="7" eb="8">
      <t>ジュン</t>
    </rPh>
    <rPh sb="11" eb="12">
      <t>ミト</t>
    </rPh>
    <rPh sb="19" eb="21">
      <t>ショウレイ</t>
    </rPh>
    <rPh sb="21" eb="22">
      <t>ダイ</t>
    </rPh>
    <rPh sb="23" eb="24">
      <t>ジョウ</t>
    </rPh>
    <rPh sb="24" eb="25">
      <t>ダイ</t>
    </rPh>
    <rPh sb="26" eb="27">
      <t>ゴウ</t>
    </rPh>
    <phoneticPr fontId="2"/>
  </si>
  <si>
    <t>　※　法第22条、令第19条</t>
    <rPh sb="3" eb="4">
      <t>ホウ</t>
    </rPh>
    <rPh sb="4" eb="5">
      <t>ダイ</t>
    </rPh>
    <rPh sb="7" eb="8">
      <t>ジョウ</t>
    </rPh>
    <rPh sb="9" eb="10">
      <t>レイ</t>
    </rPh>
    <rPh sb="10" eb="11">
      <t>ダイ</t>
    </rPh>
    <rPh sb="13" eb="14">
      <t>ジョウ</t>
    </rPh>
    <phoneticPr fontId="2"/>
  </si>
  <si>
    <t>　②　法非適用事業(宅地造成以外)　＝　営業収益に相当する収入の額　－　受託工事収益に相当する収入の額</t>
    <rPh sb="3" eb="4">
      <t>ホウ</t>
    </rPh>
    <rPh sb="4" eb="5">
      <t>ヒ</t>
    </rPh>
    <rPh sb="5" eb="7">
      <t>テキヨウ</t>
    </rPh>
    <rPh sb="7" eb="9">
      <t>ジギョウ</t>
    </rPh>
    <rPh sb="10" eb="12">
      <t>タクチ</t>
    </rPh>
    <rPh sb="12" eb="14">
      <t>ゾウセイ</t>
    </rPh>
    <rPh sb="14" eb="16">
      <t>イガイ</t>
    </rPh>
    <rPh sb="20" eb="22">
      <t>エイギョウ</t>
    </rPh>
    <rPh sb="22" eb="24">
      <t>シュウエキ</t>
    </rPh>
    <rPh sb="25" eb="27">
      <t>ソウトウ</t>
    </rPh>
    <rPh sb="29" eb="31">
      <t>シュウニュウ</t>
    </rPh>
    <rPh sb="32" eb="33">
      <t>ガク</t>
    </rPh>
    <rPh sb="43" eb="45">
      <t>ソウトウ</t>
    </rPh>
    <rPh sb="47" eb="49">
      <t>シュウニュウ</t>
    </rPh>
    <phoneticPr fontId="2"/>
  </si>
  <si>
    <t>集排（農集）</t>
    <rPh sb="0" eb="1">
      <t>シュウ</t>
    </rPh>
    <rPh sb="1" eb="2">
      <t>ハイ</t>
    </rPh>
    <rPh sb="3" eb="4">
      <t>ノウ</t>
    </rPh>
    <rPh sb="4" eb="5">
      <t>シュウ</t>
    </rPh>
    <phoneticPr fontId="2"/>
  </si>
  <si>
    <t>集排（コミプラ）</t>
    <rPh sb="0" eb="1">
      <t>シュウ</t>
    </rPh>
    <rPh sb="1" eb="2">
      <t>ハイ</t>
    </rPh>
    <phoneticPr fontId="2"/>
  </si>
  <si>
    <t>集落排水事業
（農業集落排水）</t>
    <rPh sb="0" eb="2">
      <t>シュウラク</t>
    </rPh>
    <rPh sb="2" eb="4">
      <t>ハイスイ</t>
    </rPh>
    <rPh sb="4" eb="6">
      <t>ジギョウ</t>
    </rPh>
    <rPh sb="8" eb="10">
      <t>ノウギョウ</t>
    </rPh>
    <rPh sb="10" eb="12">
      <t>シュウラク</t>
    </rPh>
    <rPh sb="12" eb="14">
      <t>ハイスイ</t>
    </rPh>
    <phoneticPr fontId="2"/>
  </si>
  <si>
    <r>
      <t>①･②以外に、</t>
    </r>
    <r>
      <rPr>
        <b/>
        <sz val="10"/>
        <rFont val="ＭＳ ゴシック"/>
        <family val="3"/>
        <charset val="128"/>
      </rPr>
      <t>国民健康保険、介護保険、後期高齢者医療</t>
    </r>
    <r>
      <rPr>
        <sz val="10"/>
        <rFont val="ＭＳ ゴシック"/>
        <family val="3"/>
        <charset val="128"/>
      </rPr>
      <t>（農業共済、介護サービス、駐車場、交通災害共済等）</t>
    </r>
    <rPh sb="3" eb="5">
      <t>イガイ</t>
    </rPh>
    <rPh sb="7" eb="9">
      <t>コクミン</t>
    </rPh>
    <rPh sb="9" eb="11">
      <t>ケンコウ</t>
    </rPh>
    <rPh sb="11" eb="13">
      <t>ホケン</t>
    </rPh>
    <rPh sb="14" eb="16">
      <t>カイゴ</t>
    </rPh>
    <rPh sb="16" eb="18">
      <t>ホケン</t>
    </rPh>
    <rPh sb="19" eb="21">
      <t>コウキ</t>
    </rPh>
    <rPh sb="21" eb="24">
      <t>コウレイシャ</t>
    </rPh>
    <rPh sb="24" eb="26">
      <t>イリョウ</t>
    </rPh>
    <rPh sb="27" eb="31">
      <t>ノウギョウキョウサイ</t>
    </rPh>
    <rPh sb="32" eb="34">
      <t>カイゴ</t>
    </rPh>
    <rPh sb="39" eb="42">
      <t>チュウシャジョウ</t>
    </rPh>
    <phoneticPr fontId="2"/>
  </si>
  <si>
    <r>
      <t>地方財</t>
    </r>
    <r>
      <rPr>
        <sz val="11"/>
        <rFont val="ＭＳ ゴシック"/>
        <family val="3"/>
        <charset val="128"/>
      </rPr>
      <t>政法第５条の３第４項第１号の規定に基づき総務大臣が定める額
（特別区のみ）</t>
    </r>
    <rPh sb="0" eb="2">
      <t>チホウ</t>
    </rPh>
    <rPh sb="2" eb="4">
      <t>ザイセイ</t>
    </rPh>
    <rPh sb="4" eb="5">
      <t>ホウ</t>
    </rPh>
    <rPh sb="5" eb="6">
      <t>ダイ</t>
    </rPh>
    <rPh sb="7" eb="8">
      <t>ジョウ</t>
    </rPh>
    <rPh sb="10" eb="11">
      <t>ダイ</t>
    </rPh>
    <rPh sb="12" eb="13">
      <t>コウ</t>
    </rPh>
    <rPh sb="13" eb="14">
      <t>ダイ</t>
    </rPh>
    <rPh sb="15" eb="16">
      <t>ゴウ</t>
    </rPh>
    <rPh sb="17" eb="19">
      <t>キテイ</t>
    </rPh>
    <rPh sb="20" eb="21">
      <t>モト</t>
    </rPh>
    <rPh sb="23" eb="25">
      <t>ソウム</t>
    </rPh>
    <rPh sb="25" eb="27">
      <t>ダイジン</t>
    </rPh>
    <rPh sb="28" eb="29">
      <t>サダ</t>
    </rPh>
    <rPh sb="31" eb="32">
      <t>ガク</t>
    </rPh>
    <rPh sb="34" eb="37">
      <t>トクベツク</t>
    </rPh>
    <phoneticPr fontId="1"/>
  </si>
  <si>
    <t>特定財源見込額　計</t>
    <rPh sb="0" eb="2">
      <t>トクテイ</t>
    </rPh>
    <rPh sb="2" eb="4">
      <t>ザイゲン</t>
    </rPh>
    <rPh sb="4" eb="7">
      <t>ミコミガク</t>
    </rPh>
    <rPh sb="8" eb="9">
      <t>ケイ</t>
    </rPh>
    <phoneticPr fontId="2"/>
  </si>
  <si>
    <t>集落排水事業</t>
    <rPh sb="0" eb="2">
      <t>シュウラク</t>
    </rPh>
    <rPh sb="2" eb="4">
      <t>ハイスイ</t>
    </rPh>
    <rPh sb="4" eb="6">
      <t>ジギョウ</t>
    </rPh>
    <phoneticPr fontId="2"/>
  </si>
  <si>
    <t>（農業集落排水事業）</t>
    <rPh sb="1" eb="3">
      <t>ノウギョウ</t>
    </rPh>
    <rPh sb="3" eb="5">
      <t>シュウラク</t>
    </rPh>
    <rPh sb="5" eb="7">
      <t>ハイスイ</t>
    </rPh>
    <rPh sb="7" eb="9">
      <t>ジギョウ</t>
    </rPh>
    <phoneticPr fontId="2"/>
  </si>
  <si>
    <t>（コミュニティ・プラント事業）</t>
    <rPh sb="12" eb="14">
      <t>ジギョウ</t>
    </rPh>
    <phoneticPr fontId="2"/>
  </si>
  <si>
    <t>集排事業</t>
    <rPh sb="2" eb="4">
      <t>ジギョウ</t>
    </rPh>
    <phoneticPr fontId="2"/>
  </si>
  <si>
    <t>集落排水事業</t>
    <phoneticPr fontId="2"/>
  </si>
  <si>
    <t>下水道事業債(特例措置)の償還に要する経費</t>
    <rPh sb="0" eb="1">
      <t>シタ</t>
    </rPh>
    <rPh sb="1" eb="6">
      <t>スイドウジギョウサイ</t>
    </rPh>
    <rPh sb="7" eb="9">
      <t>トクレイ</t>
    </rPh>
    <rPh sb="9" eb="11">
      <t>ソチ</t>
    </rPh>
    <rPh sb="13" eb="15">
      <t>ショウカン</t>
    </rPh>
    <rPh sb="16" eb="17">
      <t>ヨウ</t>
    </rPh>
    <rPh sb="19" eb="21">
      <t>ケイヒ</t>
    </rPh>
    <phoneticPr fontId="2"/>
  </si>
  <si>
    <t>・　Ａ＝</t>
    <phoneticPr fontId="2"/>
  </si>
  <si>
    <t>歳出総額</t>
    <rPh sb="0" eb="4">
      <t>サイシュツソウガク</t>
    </rPh>
    <phoneticPr fontId="2"/>
  </si>
  <si>
    <t>・　Ｂ＝</t>
    <phoneticPr fontId="2"/>
  </si>
  <si>
    <t>・　Ｃ＝</t>
    <phoneticPr fontId="2"/>
  </si>
  <si>
    <t>歳入額－翌年度に繰り越すべき財源（支払繰延額・事業繰越額）</t>
    <rPh sb="0" eb="2">
      <t>サイニュウ</t>
    </rPh>
    <rPh sb="2" eb="3">
      <t>ガク</t>
    </rPh>
    <rPh sb="4" eb="7">
      <t>ヨクネンド</t>
    </rPh>
    <rPh sb="8" eb="9">
      <t>ク</t>
    </rPh>
    <rPh sb="10" eb="11">
      <t>コ</t>
    </rPh>
    <rPh sb="14" eb="16">
      <t>ザイゲン</t>
    </rPh>
    <rPh sb="17" eb="19">
      <t>シハライ</t>
    </rPh>
    <rPh sb="19" eb="21">
      <t>クリノベ</t>
    </rPh>
    <rPh sb="21" eb="22">
      <t>ガク</t>
    </rPh>
    <rPh sb="23" eb="25">
      <t>ジギョウ</t>
    </rPh>
    <rPh sb="25" eb="27">
      <t>クリコシ</t>
    </rPh>
    <rPh sb="27" eb="28">
      <t>ガク</t>
    </rPh>
    <phoneticPr fontId="2"/>
  </si>
  <si>
    <t>・　Ｄ＝</t>
    <phoneticPr fontId="2"/>
  </si>
  <si>
    <t>・　Ｅ＝</t>
    <phoneticPr fontId="2"/>
  </si>
  <si>
    <t>市町村及び特例区は3/10だが、経過措置として平成20～22年度は2/5、23年度は7/20</t>
    <rPh sb="0" eb="3">
      <t>シチョウソン</t>
    </rPh>
    <rPh sb="3" eb="4">
      <t>オヨ</t>
    </rPh>
    <rPh sb="5" eb="7">
      <t>トクレイ</t>
    </rPh>
    <rPh sb="7" eb="8">
      <t>ク</t>
    </rPh>
    <rPh sb="16" eb="18">
      <t>ケイカ</t>
    </rPh>
    <rPh sb="18" eb="20">
      <t>ソチ</t>
    </rPh>
    <rPh sb="23" eb="25">
      <t>ヘイセイ</t>
    </rPh>
    <rPh sb="30" eb="32">
      <t>ネンド</t>
    </rPh>
    <rPh sb="39" eb="41">
      <t>ネンド</t>
    </rPh>
    <phoneticPr fontId="2"/>
  </si>
  <si>
    <t>令和元年度</t>
    <rPh sb="0" eb="2">
      <t>レイワ</t>
    </rPh>
    <rPh sb="2" eb="3">
      <t>ガン</t>
    </rPh>
    <rPh sb="3" eb="5">
      <t>ネンド</t>
    </rPh>
    <phoneticPr fontId="2"/>
  </si>
  <si>
    <t>平成30年度</t>
  </si>
  <si>
    <t>平成20年度</t>
    <rPh sb="0" eb="2">
      <t>ヘイセイ</t>
    </rPh>
    <rPh sb="4" eb="6">
      <t>ネンド</t>
    </rPh>
    <phoneticPr fontId="2"/>
  </si>
  <si>
    <t>　　21年度</t>
    <rPh sb="4" eb="6">
      <t>ネンド</t>
    </rPh>
    <phoneticPr fontId="2"/>
  </si>
  <si>
    <t>　　22年度</t>
    <rPh sb="4" eb="6">
      <t>ネンド</t>
    </rPh>
    <phoneticPr fontId="2"/>
  </si>
  <si>
    <t>　　24年度</t>
    <rPh sb="4" eb="6">
      <t>ネンド</t>
    </rPh>
    <phoneticPr fontId="2"/>
  </si>
  <si>
    <t>　　25年度</t>
    <rPh sb="4" eb="6">
      <t>ネンド</t>
    </rPh>
    <phoneticPr fontId="2"/>
  </si>
  <si>
    <t>　　26年度</t>
    <rPh sb="4" eb="6">
      <t>ネンド</t>
    </rPh>
    <phoneticPr fontId="2"/>
  </si>
  <si>
    <t>　　27年度</t>
    <rPh sb="4" eb="6">
      <t>ネンド</t>
    </rPh>
    <phoneticPr fontId="2"/>
  </si>
  <si>
    <t>　　28年度</t>
    <rPh sb="4" eb="6">
      <t>ネンド</t>
    </rPh>
    <phoneticPr fontId="2"/>
  </si>
  <si>
    <t>　　29年度</t>
    <rPh sb="4" eb="6">
      <t>ネンド</t>
    </rPh>
    <phoneticPr fontId="2"/>
  </si>
  <si>
    <t>　　30年度</t>
    <rPh sb="4" eb="6">
      <t>ネンド</t>
    </rPh>
    <phoneticPr fontId="2"/>
  </si>
  <si>
    <t>－</t>
  </si>
  <si>
    <t>(  △18.28% )</t>
  </si>
  <si>
    <t>( △112.75% )</t>
  </si>
  <si>
    <t>(  △73.98% )</t>
  </si>
  <si>
    <t>(  △23.58% )</t>
  </si>
  <si>
    <t>( △642.92% )</t>
  </si>
  <si>
    <t>令和２年度</t>
    <rPh sb="0" eb="2">
      <t>レイワ</t>
    </rPh>
    <rPh sb="3" eb="5">
      <t>ネンド</t>
    </rPh>
    <phoneticPr fontId="2"/>
  </si>
  <si>
    <t>　　 2年度</t>
    <rPh sb="4" eb="6">
      <t>ネンド</t>
    </rPh>
    <phoneticPr fontId="2"/>
  </si>
  <si>
    <t>(  △23.39% )</t>
    <phoneticPr fontId="2"/>
  </si>
  <si>
    <t>一般会計等が負担する元利償還金及び準元利償還金の標準財政規模を基本とした額に</t>
    <rPh sb="0" eb="2">
      <t>イッパン</t>
    </rPh>
    <rPh sb="2" eb="4">
      <t>カイケイ</t>
    </rPh>
    <rPh sb="4" eb="5">
      <t>トウ</t>
    </rPh>
    <rPh sb="6" eb="8">
      <t>フタン</t>
    </rPh>
    <rPh sb="10" eb="12">
      <t>ガンリ</t>
    </rPh>
    <rPh sb="12" eb="15">
      <t>ショウカンキン</t>
    </rPh>
    <rPh sb="15" eb="16">
      <t>オヨ</t>
    </rPh>
    <rPh sb="17" eb="18">
      <t>ジュン</t>
    </rPh>
    <rPh sb="18" eb="20">
      <t>ガンリ</t>
    </rPh>
    <rPh sb="20" eb="23">
      <t>ショウカンキン</t>
    </rPh>
    <rPh sb="24" eb="26">
      <t>ヒョウジュン</t>
    </rPh>
    <rPh sb="26" eb="28">
      <t>ザイセイ</t>
    </rPh>
    <rPh sb="28" eb="30">
      <t>キボ</t>
    </rPh>
    <rPh sb="31" eb="33">
      <t>キホン</t>
    </rPh>
    <rPh sb="36" eb="37">
      <t>ガク</t>
    </rPh>
    <phoneticPr fontId="2"/>
  </si>
  <si>
    <t>対する比率の３か年平均</t>
    <phoneticPr fontId="2"/>
  </si>
  <si>
    <t>一般会計等が将来負担すべき実質的な負債の標準財政規模を基本とした額に対する比率</t>
    <rPh sb="0" eb="2">
      <t>イッパン</t>
    </rPh>
    <rPh sb="2" eb="5">
      <t>カイケイトウ</t>
    </rPh>
    <rPh sb="6" eb="8">
      <t>ショウライ</t>
    </rPh>
    <rPh sb="8" eb="10">
      <t>フタン</t>
    </rPh>
    <rPh sb="13" eb="16">
      <t>ジッシツテキ</t>
    </rPh>
    <rPh sb="17" eb="19">
      <t>フサイ</t>
    </rPh>
    <rPh sb="20" eb="22">
      <t>ヒョウジュン</t>
    </rPh>
    <rPh sb="22" eb="24">
      <t>ザイセイ</t>
    </rPh>
    <rPh sb="24" eb="26">
      <t>キボ</t>
    </rPh>
    <rPh sb="27" eb="29">
      <t>キホン</t>
    </rPh>
    <rPh sb="32" eb="33">
      <t>ガク</t>
    </rPh>
    <rPh sb="34" eb="35">
      <t>タイ</t>
    </rPh>
    <rPh sb="37" eb="39">
      <t>ヒリツ</t>
    </rPh>
    <phoneticPr fontId="2"/>
  </si>
  <si>
    <t>令和３年度</t>
    <rPh sb="0" eb="2">
      <t>レイワ</t>
    </rPh>
    <rPh sb="3" eb="5">
      <t>ネンド</t>
    </rPh>
    <phoneticPr fontId="2"/>
  </si>
  <si>
    <t>有</t>
    <rPh sb="0" eb="1">
      <t>アリ</t>
    </rPh>
    <phoneticPr fontId="2"/>
  </si>
  <si>
    <t>　　 3年度</t>
    <rPh sb="4" eb="6">
      <t>ネンド</t>
    </rPh>
    <phoneticPr fontId="2"/>
  </si>
  <si>
    <t>令和元年度</t>
    <rPh sb="0" eb="2">
      <t>レイワ</t>
    </rPh>
    <rPh sb="2" eb="4">
      <t>ガンネン</t>
    </rPh>
    <phoneticPr fontId="2"/>
  </si>
  <si>
    <t>( △7.6% )</t>
    <phoneticPr fontId="2"/>
  </si>
  <si>
    <t>(  △22.83% )</t>
    <phoneticPr fontId="2"/>
  </si>
  <si>
    <t>公営企業の特別会計のうち、資金の剰余額を生じた会計の資金の剰余額の合計額</t>
    <rPh sb="0" eb="2">
      <t>コウエイ</t>
    </rPh>
    <rPh sb="2" eb="4">
      <t>キギョウ</t>
    </rPh>
    <rPh sb="5" eb="7">
      <t>トクベツ</t>
    </rPh>
    <rPh sb="7" eb="9">
      <t>カイケイ</t>
    </rPh>
    <rPh sb="13" eb="15">
      <t>シキン</t>
    </rPh>
    <rPh sb="16" eb="18">
      <t>ジョウヨ</t>
    </rPh>
    <rPh sb="18" eb="19">
      <t>ガク</t>
    </rPh>
    <rPh sb="20" eb="21">
      <t>ショウ</t>
    </rPh>
    <rPh sb="23" eb="25">
      <t>カイケイ</t>
    </rPh>
    <rPh sb="26" eb="28">
      <t>シキン</t>
    </rPh>
    <rPh sb="29" eb="31">
      <t>ジョウヨ</t>
    </rPh>
    <rPh sb="31" eb="32">
      <t>ガク</t>
    </rPh>
    <rPh sb="33" eb="35">
      <t>ゴウケイ</t>
    </rPh>
    <rPh sb="35" eb="36">
      <t>ガク</t>
    </rPh>
    <phoneticPr fontId="2"/>
  </si>
  <si>
    <t>Ｄ以外の
都市計画関連の
準元利償還金</t>
    <rPh sb="1" eb="3">
      <t>イガイ</t>
    </rPh>
    <rPh sb="5" eb="7">
      <t>トシ</t>
    </rPh>
    <rPh sb="7" eb="9">
      <t>ケイカク</t>
    </rPh>
    <rPh sb="9" eb="11">
      <t>カンレン</t>
    </rPh>
    <rPh sb="13" eb="14">
      <t>ジュン</t>
    </rPh>
    <rPh sb="14" eb="16">
      <t>ガンリ</t>
    </rPh>
    <rPh sb="16" eb="19">
      <t>ショウカンキン</t>
    </rPh>
    <phoneticPr fontId="2"/>
  </si>
  <si>
    <t>その他上記の区分に準ずるもの</t>
    <rPh sb="2" eb="3">
      <t>タ</t>
    </rPh>
    <rPh sb="3" eb="5">
      <t>ジョウキ</t>
    </rPh>
    <rPh sb="6" eb="8">
      <t>クブン</t>
    </rPh>
    <rPh sb="9" eb="10">
      <t>ジュン</t>
    </rPh>
    <phoneticPr fontId="2"/>
  </si>
  <si>
    <t>令和４年度</t>
    <rPh sb="0" eb="2">
      <t>レイワ</t>
    </rPh>
    <phoneticPr fontId="2"/>
  </si>
  <si>
    <t>(令和４年度単年度)</t>
    <rPh sb="1" eb="3">
      <t>レイワ</t>
    </rPh>
    <rPh sb="4" eb="6">
      <t>ネンド</t>
    </rPh>
    <rPh sb="6" eb="9">
      <t>タンネンド</t>
    </rPh>
    <phoneticPr fontId="2"/>
  </si>
  <si>
    <t>令和４年度</t>
    <rPh sb="0" eb="2">
      <t>レイワ</t>
    </rPh>
    <rPh sb="3" eb="5">
      <t>ネンド</t>
    </rPh>
    <phoneticPr fontId="2"/>
  </si>
  <si>
    <t>( △7.9% )</t>
    <phoneticPr fontId="2"/>
  </si>
  <si>
    <t>(  △23.34% )</t>
    <phoneticPr fontId="2"/>
  </si>
  <si>
    <t>　　 4年度</t>
    <rPh sb="4" eb="6">
      <t>ネンド</t>
    </rPh>
    <phoneticPr fontId="2"/>
  </si>
  <si>
    <t>基準財政需要額算入額</t>
    <rPh sb="0" eb="2">
      <t>キジュン</t>
    </rPh>
    <rPh sb="2" eb="4">
      <t>ザイセイ</t>
    </rPh>
    <rPh sb="4" eb="5">
      <t>ジュ</t>
    </rPh>
    <rPh sb="5" eb="6">
      <t>カナメ</t>
    </rPh>
    <rPh sb="6" eb="7">
      <t>ガク</t>
    </rPh>
    <rPh sb="7" eb="9">
      <t>サンニュウ</t>
    </rPh>
    <rPh sb="9" eb="10">
      <t>ガク</t>
    </rPh>
    <phoneticPr fontId="2"/>
  </si>
  <si>
    <t>その他充当可能基金から除かれるべき基金</t>
    <rPh sb="2" eb="3">
      <t>タ</t>
    </rPh>
    <rPh sb="3" eb="5">
      <t>ジュウトウ</t>
    </rPh>
    <rPh sb="5" eb="7">
      <t>カノウ</t>
    </rPh>
    <rPh sb="7" eb="9">
      <t>キキン</t>
    </rPh>
    <rPh sb="11" eb="12">
      <t>ノゾ</t>
    </rPh>
    <rPh sb="17" eb="19">
      <t>キキン</t>
    </rPh>
    <phoneticPr fontId="2"/>
  </si>
  <si>
    <t>令和４年度</t>
    <phoneticPr fontId="2"/>
  </si>
  <si>
    <t>(Ｒ５単年度)</t>
    <rPh sb="3" eb="6">
      <t>タンネンド</t>
    </rPh>
    <phoneticPr fontId="2"/>
  </si>
  <si>
    <t>無</t>
    <rPh sb="0" eb="1">
      <t>ナシ</t>
    </rPh>
    <phoneticPr fontId="2"/>
  </si>
  <si>
    <t>令和５年度</t>
    <rPh sb="0" eb="2">
      <t>レイワ</t>
    </rPh>
    <phoneticPr fontId="2"/>
  </si>
  <si>
    <t>　　 5年度</t>
    <rPh sb="4" eb="6">
      <t>ネンド</t>
    </rPh>
    <phoneticPr fontId="2"/>
  </si>
  <si>
    <t>（ △8.84%）</t>
  </si>
  <si>
    <t>（ △7.80%）</t>
  </si>
  <si>
    <t>（ △6.32%）</t>
  </si>
  <si>
    <t>（ △13.41%）</t>
  </si>
  <si>
    <t>( △28.16% )</t>
  </si>
  <si>
    <t>( △24.96% )</t>
  </si>
  <si>
    <t>( △25.64% )</t>
  </si>
  <si>
    <t>(  △15.76% )</t>
  </si>
  <si>
    <t>(  △38.41% )</t>
  </si>
  <si>
    <t>(  △57.96% )</t>
  </si>
  <si>
    <t>( △102.33% )</t>
  </si>
  <si>
    <t>( △85.61% )</t>
  </si>
  <si>
    <t>( △90.57% )</t>
  </si>
  <si>
    <t>(  △83.84% )</t>
  </si>
  <si>
    <t>(  △92.23% )</t>
  </si>
  <si>
    <t>(  △93.34% )</t>
  </si>
  <si>
    <t>( △1,308.38% )</t>
  </si>
  <si>
    <t>( △186.21% )</t>
  </si>
  <si>
    <t>( △835.76% )</t>
  </si>
  <si>
    <t>（ △11.03%）</t>
    <phoneticPr fontId="2"/>
  </si>
  <si>
    <t>(  △69.09% )</t>
    <phoneticPr fontId="2"/>
  </si>
  <si>
    <t>( △85.92% )</t>
    <phoneticPr fontId="2"/>
  </si>
  <si>
    <t>(  △23.68% )</t>
    <phoneticPr fontId="2"/>
  </si>
  <si>
    <t>( △505.69% )</t>
    <phoneticPr fontId="2"/>
  </si>
  <si>
    <t>・道路橋りょう費：対象が平成24年度までの地方道路等整備事業債及び平成20年度までの臨時地方道整備事業債</t>
    <rPh sb="1" eb="3">
      <t>ドウロ</t>
    </rPh>
    <rPh sb="3" eb="4">
      <t>キョウ</t>
    </rPh>
    <rPh sb="7" eb="8">
      <t>ヒ</t>
    </rPh>
    <rPh sb="49" eb="51">
      <t>ジギョウ</t>
    </rPh>
    <rPh sb="51" eb="52">
      <t>サイ</t>
    </rPh>
    <phoneticPr fontId="2"/>
  </si>
  <si>
    <t>・公園費：対象が平成15年度の公園緑地事業債であることから、理論償還の終了に伴い皆減となった</t>
    <rPh sb="1" eb="3">
      <t>コウエン</t>
    </rPh>
    <rPh sb="3" eb="4">
      <t>ヒ</t>
    </rPh>
    <rPh sb="15" eb="17">
      <t>コウエン</t>
    </rPh>
    <rPh sb="17" eb="19">
      <t>リョクチ</t>
    </rPh>
    <rPh sb="19" eb="21">
      <t>ジギョウ</t>
    </rPh>
    <rPh sb="21" eb="22">
      <t>サイ</t>
    </rPh>
    <rPh sb="30" eb="32">
      <t>リロン</t>
    </rPh>
    <rPh sb="32" eb="34">
      <t>ショウカン</t>
    </rPh>
    <rPh sb="35" eb="37">
      <t>シュウリョウ</t>
    </rPh>
    <rPh sb="38" eb="39">
      <t>トモナ</t>
    </rPh>
    <rPh sb="40" eb="42">
      <t>カイゲン</t>
    </rPh>
    <phoneticPr fontId="2"/>
  </si>
  <si>
    <t>平成23年度</t>
    <rPh sb="0" eb="2">
      <t>ヘイセイ</t>
    </rPh>
    <rPh sb="4" eb="6">
      <t>ネンド</t>
    </rPh>
    <phoneticPr fontId="2"/>
  </si>
  <si>
    <t>(令和５年度単年度)</t>
    <rPh sb="1" eb="3">
      <t>レイワ</t>
    </rPh>
    <rPh sb="4" eb="6">
      <t>ネンド</t>
    </rPh>
    <rPh sb="6" eb="9">
      <t>タンネンド</t>
    </rPh>
    <phoneticPr fontId="2"/>
  </si>
  <si>
    <t>(  △103.30% )</t>
    <phoneticPr fontId="2"/>
  </si>
  <si>
    <t>(令和６年度単年度)</t>
    <rPh sb="1" eb="3">
      <t>レイワ</t>
    </rPh>
    <rPh sb="4" eb="6">
      <t>ネンド</t>
    </rPh>
    <rPh sb="6" eb="9">
      <t>タンネンド</t>
    </rPh>
    <phoneticPr fontId="2"/>
  </si>
  <si>
    <t>令和５年度</t>
    <rPh sb="0" eb="2">
      <t>レイワ</t>
    </rPh>
    <rPh sb="3" eb="5">
      <t>ネンド</t>
    </rPh>
    <phoneticPr fontId="2"/>
  </si>
  <si>
    <t>（ △8.09%）</t>
    <phoneticPr fontId="2"/>
  </si>
  <si>
    <t>(  △63.58% )</t>
    <phoneticPr fontId="2"/>
  </si>
  <si>
    <t>( △84.94% )</t>
    <phoneticPr fontId="2"/>
  </si>
  <si>
    <t>(  △106.89% )</t>
    <phoneticPr fontId="2"/>
  </si>
  <si>
    <t>(  △30.27% )</t>
    <phoneticPr fontId="2"/>
  </si>
  <si>
    <t>( △173.45% )</t>
    <phoneticPr fontId="2"/>
  </si>
  <si>
    <t>令和５年度</t>
    <phoneticPr fontId="2"/>
  </si>
  <si>
    <t>令和６年度</t>
    <rPh sb="0" eb="2">
      <t>レイワ</t>
    </rPh>
    <rPh sb="3" eb="5">
      <t>ネンド</t>
    </rPh>
    <phoneticPr fontId="1"/>
  </si>
  <si>
    <t>(Ｒ６単年度)</t>
    <rPh sb="3" eb="6">
      <t>タンネンド</t>
    </rPh>
    <phoneticPr fontId="2"/>
  </si>
  <si>
    <t>(Ｒ６-Ｒ５差)</t>
    <rPh sb="6" eb="7">
      <t>サ</t>
    </rPh>
    <phoneticPr fontId="2"/>
  </si>
  <si>
    <t>令和６年度</t>
    <rPh sb="0" eb="2">
      <t>レイワ</t>
    </rPh>
    <phoneticPr fontId="2"/>
  </si>
  <si>
    <t>　　 6年度</t>
    <rPh sb="4" eb="6">
      <t>ネンド</t>
    </rPh>
    <phoneticPr fontId="2"/>
  </si>
  <si>
    <t>水道事業　　 5</t>
    <rPh sb="0" eb="2">
      <t>スイドウ</t>
    </rPh>
    <rPh sb="2" eb="4">
      <t>ジギョウ</t>
    </rPh>
    <phoneticPr fontId="2"/>
  </si>
  <si>
    <t>病院事業　　5</t>
    <rPh sb="0" eb="2">
      <t>ビョウイン</t>
    </rPh>
    <rPh sb="2" eb="4">
      <t>ジギョウ</t>
    </rPh>
    <phoneticPr fontId="2"/>
  </si>
  <si>
    <t>下水道事業　 5</t>
    <rPh sb="0" eb="1">
      <t>シタ</t>
    </rPh>
    <rPh sb="1" eb="3">
      <t>スイドウ</t>
    </rPh>
    <rPh sb="3" eb="5">
      <t>ジギョウ</t>
    </rPh>
    <phoneticPr fontId="2"/>
  </si>
  <si>
    <t>集排事業　　 5</t>
    <rPh sb="0" eb="2">
      <t>シュウハイ</t>
    </rPh>
    <rPh sb="2" eb="4">
      <t>ジギョウ</t>
    </rPh>
    <phoneticPr fontId="2"/>
  </si>
  <si>
    <t>こども子育て費</t>
    <rPh sb="3" eb="5">
      <t>コソダ</t>
    </rPh>
    <rPh sb="6" eb="7">
      <t>ヒ</t>
    </rPh>
    <phoneticPr fontId="2"/>
  </si>
  <si>
    <t>ROUNDDOWN((G56-I56-K56-M56)/(I57-K57)*100,1)*-1</t>
    <phoneticPr fontId="2"/>
  </si>
  <si>
    <t>令和６年度決算に基づく稲沢市健全化判断比率・資金不足比率</t>
    <rPh sb="0" eb="2">
      <t>レイワ</t>
    </rPh>
    <rPh sb="3" eb="5">
      <t>ネンド</t>
    </rPh>
    <rPh sb="4" eb="5">
      <t>ガンネン</t>
    </rPh>
    <rPh sb="5" eb="7">
      <t>ケッサン</t>
    </rPh>
    <rPh sb="8" eb="9">
      <t>モト</t>
    </rPh>
    <rPh sb="11" eb="14">
      <t>イナザワシ</t>
    </rPh>
    <rPh sb="14" eb="17">
      <t>ケンゼンカ</t>
    </rPh>
    <rPh sb="17" eb="19">
      <t>ハンダン</t>
    </rPh>
    <rPh sb="19" eb="21">
      <t>ヒリツ</t>
    </rPh>
    <rPh sb="22" eb="24">
      <t>シキン</t>
    </rPh>
    <rPh sb="24" eb="26">
      <t>ブソク</t>
    </rPh>
    <rPh sb="26" eb="28">
      <t>ヒリツ</t>
    </rPh>
    <phoneticPr fontId="2"/>
  </si>
  <si>
    <t>病院事業は、収益においては、新型コロナウイルス感染症に係る補助金（病床確保）の減少（302,526千円）、一方で費用においては、職員給与費の増加（402,151千円）、</t>
    <rPh sb="0" eb="2">
      <t>ビョウイン</t>
    </rPh>
    <rPh sb="2" eb="4">
      <t>ジギョウ</t>
    </rPh>
    <phoneticPr fontId="2"/>
  </si>
  <si>
    <t>一般会計は、市税の予算額に対する上振れが420,227千円（473,700千円→893,927千円）の増額となったものの、人件費や扶助費の上昇、物価高騰に伴う資材費や人件費の高騰による落札率</t>
    <rPh sb="0" eb="2">
      <t>イッパン</t>
    </rPh>
    <rPh sb="2" eb="4">
      <t>カイケイ</t>
    </rPh>
    <rPh sb="6" eb="8">
      <t>シゼイ</t>
    </rPh>
    <rPh sb="9" eb="11">
      <t>ヨサン</t>
    </rPh>
    <rPh sb="11" eb="12">
      <t>ガク</t>
    </rPh>
    <rPh sb="13" eb="14">
      <t>タイ</t>
    </rPh>
    <rPh sb="16" eb="18">
      <t>ウワブ</t>
    </rPh>
    <rPh sb="27" eb="28">
      <t>セン</t>
    </rPh>
    <rPh sb="28" eb="29">
      <t>エン</t>
    </rPh>
    <rPh sb="37" eb="38">
      <t>セン</t>
    </rPh>
    <rPh sb="38" eb="39">
      <t>エン</t>
    </rPh>
    <rPh sb="47" eb="48">
      <t>セン</t>
    </rPh>
    <rPh sb="48" eb="49">
      <t>エン</t>
    </rPh>
    <rPh sb="51" eb="53">
      <t>ゾウガク</t>
    </rPh>
    <phoneticPr fontId="2"/>
  </si>
  <si>
    <t>の高止まりにより、歳出の執行率が2.7％の増（91.4％→94.1％）となったことなどにより、442,593千円の増となった</t>
    <rPh sb="9" eb="11">
      <t>サイシュツ</t>
    </rPh>
    <rPh sb="12" eb="14">
      <t>シッコウ</t>
    </rPh>
    <rPh sb="14" eb="15">
      <t>リツ</t>
    </rPh>
    <rPh sb="21" eb="22">
      <t>ゾウ</t>
    </rPh>
    <rPh sb="54" eb="55">
      <t>セン</t>
    </rPh>
    <rPh sb="55" eb="56">
      <t>エン</t>
    </rPh>
    <rPh sb="57" eb="58">
      <t>ゾウ</t>
    </rPh>
    <phoneticPr fontId="2"/>
  </si>
  <si>
    <t>経費の増加（修繕、委託料等）、減価償却費の増加（46,84千円）等の理由により、当年度純損失1,381,943千円となった結果、1,271,683千円の増となった。</t>
    <rPh sb="61" eb="63">
      <t>ケッカ</t>
    </rPh>
    <rPh sb="73" eb="74">
      <t>セン</t>
    </rPh>
    <rPh sb="74" eb="75">
      <t>エン</t>
    </rPh>
    <rPh sb="76" eb="77">
      <t>ゾウ</t>
    </rPh>
    <phoneticPr fontId="2"/>
  </si>
  <si>
    <t>　であることから、新規の増はないため、令和6年度算入分（償還分）13,190千円が減となった</t>
    <rPh sb="9" eb="11">
      <t>シンキ</t>
    </rPh>
    <rPh sb="12" eb="13">
      <t>ゾウ</t>
    </rPh>
    <rPh sb="19" eb="21">
      <t>レイワ</t>
    </rPh>
    <phoneticPr fontId="2"/>
  </si>
  <si>
    <t>　＜参考＞H16年度借入の臨時地方道路整備事業債（229,100千円）の理論償還の終了に伴い算入見込額（△764千円）が皆減</t>
    <rPh sb="2" eb="4">
      <t>サンコウ</t>
    </rPh>
    <rPh sb="60" eb="61">
      <t>ミナ</t>
    </rPh>
    <rPh sb="61" eb="62">
      <t>ゲン</t>
    </rPh>
    <phoneticPr fontId="2"/>
  </si>
  <si>
    <t>・下水道費：流域下水道事業及び公共下水道事業に係る地方債（12年度以降分）の令和６年度同意額（638,600千円）の算入見込み額が</t>
    <rPh sb="1" eb="4">
      <t>ゲスイドウ</t>
    </rPh>
    <rPh sb="4" eb="5">
      <t>ヒ</t>
    </rPh>
    <phoneticPr fontId="2"/>
  </si>
  <si>
    <t>　191,580千円の増となった一方で、令和6年度算入分が125,080千円の減、下水道普及特別対策事業に係る地方債（12年度～14年度許可債）</t>
    <rPh sb="11" eb="12">
      <t>ゾウ</t>
    </rPh>
    <rPh sb="16" eb="18">
      <t>イッポウ</t>
    </rPh>
    <rPh sb="66" eb="68">
      <t>ネンド</t>
    </rPh>
    <phoneticPr fontId="2"/>
  </si>
  <si>
    <t>　の歳入見込み額が令和６年度算入分32,235千円の減、（11年度以前許可債）の算入見込み額が令和6年度算入分38,573千円の減など</t>
    <phoneticPr fontId="2"/>
  </si>
  <si>
    <t>・その他土木費：旧まちづくり交付金事業に充てた地方債(H17～H22年度債)の算入見込み額が令和6年度算入分2,384千円の減少</t>
    <rPh sb="3" eb="4">
      <t>タ</t>
    </rPh>
    <rPh sb="4" eb="6">
      <t>ドボク</t>
    </rPh>
    <rPh sb="6" eb="7">
      <t>ヒ</t>
    </rPh>
    <phoneticPr fontId="2"/>
  </si>
  <si>
    <t>・中学校費：令和５年度の学校教育施設等整備事業債の借入れが無かったことから、令和5年度算入分3,226千円の減少</t>
    <rPh sb="1" eb="4">
      <t>チュウガッコウ</t>
    </rPh>
    <rPh sb="4" eb="5">
      <t>ヒ</t>
    </rPh>
    <rPh sb="6" eb="8">
      <t>レイワ</t>
    </rPh>
    <rPh sb="9" eb="11">
      <t>ネンド</t>
    </rPh>
    <rPh sb="25" eb="27">
      <t>カリイ</t>
    </rPh>
    <rPh sb="29" eb="30">
      <t>ナ</t>
    </rPh>
    <rPh sb="38" eb="40">
      <t>レイワ</t>
    </rPh>
    <rPh sb="41" eb="43">
      <t>ネンド</t>
    </rPh>
    <rPh sb="43" eb="45">
      <t>サンニュウ</t>
    </rPh>
    <rPh sb="45" eb="46">
      <t>ブン</t>
    </rPh>
    <rPh sb="51" eb="52">
      <t>セン</t>
    </rPh>
    <rPh sb="52" eb="53">
      <t>エン</t>
    </rPh>
    <rPh sb="54" eb="56">
      <t>ゲンショウ</t>
    </rPh>
    <phoneticPr fontId="2"/>
  </si>
  <si>
    <t>・小学校費：令和５年度の学校教育施設等整備事業債の借入れが無かったことから、令和6年度算入分17,835千円の減少</t>
    <rPh sb="1" eb="4">
      <t>ショウガッコウ</t>
    </rPh>
    <rPh sb="4" eb="5">
      <t>ヒ</t>
    </rPh>
    <rPh sb="6" eb="8">
      <t>レイワ</t>
    </rPh>
    <rPh sb="9" eb="11">
      <t>ネンド</t>
    </rPh>
    <rPh sb="25" eb="27">
      <t>カリイ</t>
    </rPh>
    <rPh sb="29" eb="30">
      <t>ナ</t>
    </rPh>
    <rPh sb="38" eb="40">
      <t>レイワ</t>
    </rPh>
    <rPh sb="41" eb="43">
      <t>ネンド</t>
    </rPh>
    <rPh sb="43" eb="45">
      <t>サンニュウ</t>
    </rPh>
    <rPh sb="45" eb="46">
      <t>ブン</t>
    </rPh>
    <rPh sb="52" eb="53">
      <t>セン</t>
    </rPh>
    <rPh sb="53" eb="54">
      <t>エン</t>
    </rPh>
    <rPh sb="55" eb="57">
      <t>ゲンショウ</t>
    </rPh>
    <phoneticPr fontId="2"/>
  </si>
  <si>
    <t>・保健衛生費：令和６年度の医療機械等の借入れ242,800千円に対する算入額が60,700千円の増加となった一方で</t>
    <rPh sb="1" eb="3">
      <t>ホケン</t>
    </rPh>
    <rPh sb="3" eb="5">
      <t>エイセイ</t>
    </rPh>
    <rPh sb="5" eb="6">
      <t>ヒ</t>
    </rPh>
    <rPh sb="7" eb="9">
      <t>レイワ</t>
    </rPh>
    <rPh sb="10" eb="12">
      <t>ネンド</t>
    </rPh>
    <rPh sb="13" eb="15">
      <t>イリョウ</t>
    </rPh>
    <rPh sb="15" eb="17">
      <t>キカイ</t>
    </rPh>
    <rPh sb="17" eb="18">
      <t>トウ</t>
    </rPh>
    <rPh sb="19" eb="21">
      <t>カリイ</t>
    </rPh>
    <rPh sb="29" eb="30">
      <t>セン</t>
    </rPh>
    <rPh sb="30" eb="31">
      <t>エン</t>
    </rPh>
    <rPh sb="32" eb="33">
      <t>タイ</t>
    </rPh>
    <rPh sb="35" eb="37">
      <t>サンニュウ</t>
    </rPh>
    <rPh sb="37" eb="38">
      <t>ガク</t>
    </rPh>
    <rPh sb="45" eb="46">
      <t>セン</t>
    </rPh>
    <rPh sb="46" eb="47">
      <t>エン</t>
    </rPh>
    <rPh sb="48" eb="49">
      <t>ゾウ</t>
    </rPh>
    <rPh sb="49" eb="50">
      <t>カ</t>
    </rPh>
    <rPh sb="54" eb="56">
      <t>イッポウ</t>
    </rPh>
    <phoneticPr fontId="2"/>
  </si>
  <si>
    <t>　病院事業債に対する令和6年度算入分119,223千円が減少となったことなどによる減</t>
    <rPh sb="41" eb="42">
      <t>ゲン</t>
    </rPh>
    <phoneticPr fontId="2"/>
  </si>
  <si>
    <t>・こども子育て費：児童発達支援センター建設事業の借入れ29,700千円に対する算入額が148,500千円の皆増となったため</t>
    <rPh sb="4" eb="6">
      <t>コソダ</t>
    </rPh>
    <rPh sb="7" eb="8">
      <t>ヒ</t>
    </rPh>
    <rPh sb="19" eb="21">
      <t>ケンセツ</t>
    </rPh>
    <rPh sb="21" eb="23">
      <t>ジギョウ</t>
    </rPh>
    <rPh sb="24" eb="26">
      <t>カリイ</t>
    </rPh>
    <rPh sb="33" eb="34">
      <t>セン</t>
    </rPh>
    <rPh sb="34" eb="35">
      <t>エン</t>
    </rPh>
    <rPh sb="36" eb="37">
      <t>タイ</t>
    </rPh>
    <rPh sb="39" eb="41">
      <t>サンニュウ</t>
    </rPh>
    <rPh sb="41" eb="42">
      <t>ガク</t>
    </rPh>
    <rPh sb="50" eb="51">
      <t>セン</t>
    </rPh>
    <rPh sb="51" eb="52">
      <t>エン</t>
    </rPh>
    <rPh sb="53" eb="54">
      <t>ミナ</t>
    </rPh>
    <rPh sb="54" eb="55">
      <t>ゾウ</t>
    </rPh>
    <phoneticPr fontId="2"/>
  </si>
  <si>
    <t>・清掃費：令和6年度算入分が33,480千円の減となった一方で、汚水処理施設下水道接続事業に係る地方債の令和6年度借入れ234,700千円</t>
    <rPh sb="1" eb="3">
      <t>セイソウ</t>
    </rPh>
    <rPh sb="3" eb="4">
      <t>ヒ</t>
    </rPh>
    <rPh sb="28" eb="30">
      <t>イッポウ</t>
    </rPh>
    <rPh sb="32" eb="34">
      <t>オスイ</t>
    </rPh>
    <rPh sb="34" eb="36">
      <t>ショリ</t>
    </rPh>
    <rPh sb="36" eb="38">
      <t>シセツ</t>
    </rPh>
    <rPh sb="38" eb="40">
      <t>ゲスイ</t>
    </rPh>
    <rPh sb="40" eb="41">
      <t>ドウ</t>
    </rPh>
    <rPh sb="41" eb="43">
      <t>セツゾク</t>
    </rPh>
    <rPh sb="43" eb="45">
      <t>ジギョウ</t>
    </rPh>
    <rPh sb="46" eb="47">
      <t>カカ</t>
    </rPh>
    <rPh sb="48" eb="50">
      <t>チホウ</t>
    </rPh>
    <rPh sb="50" eb="51">
      <t>サイ</t>
    </rPh>
    <rPh sb="52" eb="54">
      <t>レイワ</t>
    </rPh>
    <rPh sb="55" eb="56">
      <t>ネン</t>
    </rPh>
    <rPh sb="56" eb="57">
      <t>ド</t>
    </rPh>
    <rPh sb="57" eb="59">
      <t>カリイ</t>
    </rPh>
    <rPh sb="67" eb="68">
      <t>セン</t>
    </rPh>
    <rPh sb="68" eb="69">
      <t>エン</t>
    </rPh>
    <phoneticPr fontId="2"/>
  </si>
  <si>
    <t>　に対する算入額が93,100千円の増加となったため（参考：161,900千円（50％）40,500千円（30％）、財源対策債（32,300千円））</t>
    <rPh sb="5" eb="7">
      <t>サンニュウ</t>
    </rPh>
    <rPh sb="7" eb="8">
      <t>ガク</t>
    </rPh>
    <rPh sb="15" eb="16">
      <t>セン</t>
    </rPh>
    <rPh sb="16" eb="17">
      <t>エン</t>
    </rPh>
    <rPh sb="18" eb="19">
      <t>ゾウ</t>
    </rPh>
    <rPh sb="19" eb="20">
      <t>カ</t>
    </rPh>
    <rPh sb="27" eb="29">
      <t>サンコウ</t>
    </rPh>
    <rPh sb="37" eb="38">
      <t>セン</t>
    </rPh>
    <rPh sb="38" eb="39">
      <t>エン</t>
    </rPh>
    <rPh sb="50" eb="51">
      <t>セン</t>
    </rPh>
    <rPh sb="51" eb="52">
      <t>エン</t>
    </rPh>
    <rPh sb="58" eb="60">
      <t>ザイゲン</t>
    </rPh>
    <rPh sb="60" eb="62">
      <t>タイサク</t>
    </rPh>
    <rPh sb="62" eb="63">
      <t>サイ</t>
    </rPh>
    <rPh sb="70" eb="71">
      <t>セン</t>
    </rPh>
    <rPh sb="71" eb="72">
      <t>エン</t>
    </rPh>
    <phoneticPr fontId="2"/>
  </si>
  <si>
    <t>　の増、脱炭素化事業債（体育施設等ＬＥＤ化）に係る地方債の令和6年度借入れ21,500千円に対する令和6年度算入額6,450千円の増など</t>
    <rPh sb="12" eb="14">
      <t>タイイク</t>
    </rPh>
    <rPh sb="14" eb="16">
      <t>シセツ</t>
    </rPh>
    <rPh sb="16" eb="17">
      <t>トウ</t>
    </rPh>
    <rPh sb="20" eb="21">
      <t>カ</t>
    </rPh>
    <rPh sb="23" eb="24">
      <t>カカ</t>
    </rPh>
    <rPh sb="25" eb="28">
      <t>チホウサイ</t>
    </rPh>
    <rPh sb="29" eb="31">
      <t>レイワ</t>
    </rPh>
    <rPh sb="32" eb="34">
      <t>ネンド</t>
    </rPh>
    <rPh sb="34" eb="36">
      <t>カリイレ</t>
    </rPh>
    <rPh sb="43" eb="44">
      <t>セン</t>
    </rPh>
    <rPh sb="44" eb="45">
      <t>エン</t>
    </rPh>
    <rPh sb="46" eb="47">
      <t>タイ</t>
    </rPh>
    <rPh sb="49" eb="51">
      <t>レイワ</t>
    </rPh>
    <rPh sb="52" eb="54">
      <t>ネンド</t>
    </rPh>
    <rPh sb="54" eb="56">
      <t>サンニュウ</t>
    </rPh>
    <rPh sb="56" eb="57">
      <t>ガク</t>
    </rPh>
    <rPh sb="62" eb="63">
      <t>セン</t>
    </rPh>
    <rPh sb="63" eb="64">
      <t>エン</t>
    </rPh>
    <rPh sb="65" eb="66">
      <t>ゾウ</t>
    </rPh>
    <phoneticPr fontId="2"/>
  </si>
  <si>
    <t>・地域振興費：公共施設等適正管理推進事業債（道路整備事業）に係る地方債の令和6年度借入れ45,000千円に対する算入額13,500千円</t>
    <rPh sb="1" eb="3">
      <t>チイキ</t>
    </rPh>
    <rPh sb="3" eb="5">
      <t>シンコウ</t>
    </rPh>
    <rPh sb="5" eb="6">
      <t>ヒ</t>
    </rPh>
    <rPh sb="22" eb="24">
      <t>ドウロ</t>
    </rPh>
    <rPh sb="24" eb="26">
      <t>セイビ</t>
    </rPh>
    <rPh sb="26" eb="28">
      <t>ジギョウ</t>
    </rPh>
    <rPh sb="53" eb="54">
      <t>タイ</t>
    </rPh>
    <phoneticPr fontId="2"/>
  </si>
  <si>
    <t>・公債費：臨時財政対策債の令和５年度借入れ165,173千円に対する算入額が165,173千円の増加となったものの、</t>
    <rPh sb="1" eb="4">
      <t>コウサイヒ</t>
    </rPh>
    <rPh sb="3" eb="4">
      <t>ヒ</t>
    </rPh>
    <rPh sb="5" eb="7">
      <t>リンジ</t>
    </rPh>
    <rPh sb="7" eb="9">
      <t>ザイセイ</t>
    </rPh>
    <rPh sb="9" eb="11">
      <t>タイサク</t>
    </rPh>
    <rPh sb="11" eb="12">
      <t>サイ</t>
    </rPh>
    <rPh sb="13" eb="15">
      <t>レイワ</t>
    </rPh>
    <rPh sb="16" eb="18">
      <t>ネンド</t>
    </rPh>
    <rPh sb="18" eb="20">
      <t>カリイレ</t>
    </rPh>
    <rPh sb="28" eb="29">
      <t>セン</t>
    </rPh>
    <rPh sb="29" eb="30">
      <t>エン</t>
    </rPh>
    <rPh sb="31" eb="32">
      <t>タイ</t>
    </rPh>
    <rPh sb="34" eb="36">
      <t>サンニュウ</t>
    </rPh>
    <rPh sb="36" eb="37">
      <t>ガク</t>
    </rPh>
    <rPh sb="45" eb="46">
      <t>セン</t>
    </rPh>
    <rPh sb="46" eb="47">
      <t>エン</t>
    </rPh>
    <rPh sb="48" eb="49">
      <t>ゾウ</t>
    </rPh>
    <rPh sb="49" eb="50">
      <t>カ</t>
    </rPh>
    <phoneticPr fontId="2"/>
  </si>
  <si>
    <t>　令和５年度算入分1,728,258千円が減、合併特例債は令和6年度借入れ438,100千円に対する算入額が306,670千円の</t>
    <rPh sb="23" eb="25">
      <t>ガッペイ</t>
    </rPh>
    <rPh sb="25" eb="27">
      <t>トクレイ</t>
    </rPh>
    <rPh sb="27" eb="28">
      <t>サイ</t>
    </rPh>
    <phoneticPr fontId="2"/>
  </si>
  <si>
    <t>　増加となったものの、令和５年度算入分1,433,401千円が減など</t>
    <phoneticPr fontId="2"/>
  </si>
  <si>
    <t>稲沢市立稲沢西第2児童クラブ建物借上料</t>
    <phoneticPr fontId="2"/>
  </si>
  <si>
    <t>令和２年度借入の祖父江生涯学習施設整備事業に係る合併特例債（借入額822,400千円 R6元金償還額 48,377千円）や</t>
    <rPh sb="8" eb="11">
      <t>ソブエ</t>
    </rPh>
    <rPh sb="11" eb="13">
      <t>ショウガイ</t>
    </rPh>
    <rPh sb="13" eb="15">
      <t>ガクシュウ</t>
    </rPh>
    <rPh sb="15" eb="17">
      <t>シセツ</t>
    </rPh>
    <rPh sb="17" eb="19">
      <t>セイビ</t>
    </rPh>
    <rPh sb="19" eb="21">
      <t>ジギョウ</t>
    </rPh>
    <rPh sb="57" eb="58">
      <t>セン</t>
    </rPh>
    <phoneticPr fontId="2"/>
  </si>
  <si>
    <t>令和２年度借入の小中学校校内ＬＡＮ整備事業に係る学校教育施設等整備事業債（借入額 337,500千円 R6元金償還額 48,212千円）や</t>
    <rPh sb="8" eb="12">
      <t>ショウチュウガッコウ</t>
    </rPh>
    <rPh sb="12" eb="14">
      <t>コウナイ</t>
    </rPh>
    <rPh sb="17" eb="19">
      <t>セイビ</t>
    </rPh>
    <rPh sb="19" eb="21">
      <t>ジギョウ</t>
    </rPh>
    <rPh sb="22" eb="23">
      <t>カカ</t>
    </rPh>
    <rPh sb="24" eb="26">
      <t>ガッコウ</t>
    </rPh>
    <rPh sb="26" eb="28">
      <t>キョウイク</t>
    </rPh>
    <rPh sb="28" eb="30">
      <t>シセツ</t>
    </rPh>
    <rPh sb="30" eb="31">
      <t>トウ</t>
    </rPh>
    <rPh sb="31" eb="33">
      <t>セイビ</t>
    </rPh>
    <rPh sb="33" eb="35">
      <t>ジギョウ</t>
    </rPh>
    <rPh sb="35" eb="36">
      <t>サイ</t>
    </rPh>
    <rPh sb="65" eb="66">
      <t>セン</t>
    </rPh>
    <phoneticPr fontId="2"/>
  </si>
  <si>
    <t>平成15年度借入の臨時財政対策債（借入額 1,899,000千円 R5元金償還額 118,455千円）や</t>
    <rPh sb="4" eb="6">
      <t>ネンド</t>
    </rPh>
    <rPh sb="6" eb="8">
      <t>カリイレ</t>
    </rPh>
    <rPh sb="9" eb="11">
      <t>リンジ</t>
    </rPh>
    <rPh sb="11" eb="13">
      <t>ザイセイ</t>
    </rPh>
    <rPh sb="13" eb="15">
      <t>タイサク</t>
    </rPh>
    <rPh sb="15" eb="16">
      <t>サイ</t>
    </rPh>
    <rPh sb="35" eb="37">
      <t>ガンキン</t>
    </rPh>
    <rPh sb="48" eb="49">
      <t>セン</t>
    </rPh>
    <phoneticPr fontId="2"/>
  </si>
  <si>
    <t>平成25年度借入の病院建設事業に係る合併特例債（借入額 916,300千円 R5元金償還額 101,808千円）などの償還が終了した一方、</t>
    <rPh sb="59" eb="61">
      <t>ショウカン</t>
    </rPh>
    <rPh sb="62" eb="64">
      <t>シュウリョウ</t>
    </rPh>
    <rPh sb="66" eb="68">
      <t>イッポウ</t>
    </rPh>
    <phoneticPr fontId="2"/>
  </si>
  <si>
    <t>令和２年度借入の新分庁舎等整備事業に係る合併特例債（借入額 1,436,500千円 R6元金償還額 84,500千円）や</t>
    <rPh sb="8" eb="9">
      <t>シン</t>
    </rPh>
    <rPh sb="9" eb="12">
      <t>ブンチョウシャ</t>
    </rPh>
    <rPh sb="12" eb="13">
      <t>トウ</t>
    </rPh>
    <rPh sb="13" eb="15">
      <t>セイビ</t>
    </rPh>
    <rPh sb="15" eb="17">
      <t>ジギョウ</t>
    </rPh>
    <rPh sb="56" eb="57">
      <t>セン</t>
    </rPh>
    <phoneticPr fontId="2"/>
  </si>
  <si>
    <t>令和３年度借入の臨時財政対策債（借入額 2,587,700千円 R6元金償還額 75,733千円）や</t>
    <rPh sb="0" eb="2">
      <t>レイワ</t>
    </rPh>
    <rPh sb="3" eb="5">
      <t>ネンド</t>
    </rPh>
    <rPh sb="5" eb="7">
      <t>カリイレ</t>
    </rPh>
    <rPh sb="8" eb="10">
      <t>リンジ</t>
    </rPh>
    <rPh sb="10" eb="12">
      <t>ザイセイ</t>
    </rPh>
    <rPh sb="12" eb="14">
      <t>タイサク</t>
    </rPh>
    <rPh sb="14" eb="15">
      <t>サイ</t>
    </rPh>
    <rPh sb="34" eb="36">
      <t>ガンキン</t>
    </rPh>
    <rPh sb="46" eb="47">
      <t>セン</t>
    </rPh>
    <phoneticPr fontId="2"/>
  </si>
  <si>
    <t>令和２年度借入の祖父江の森温水プールリニューアル事業に係る合併特例債（借入額 548,700千円 R6元金償還額 32,276千円）や</t>
    <rPh sb="0" eb="2">
      <t>レイワ</t>
    </rPh>
    <rPh sb="3" eb="5">
      <t>ネンド</t>
    </rPh>
    <rPh sb="5" eb="7">
      <t>カリイレ</t>
    </rPh>
    <rPh sb="8" eb="11">
      <t>ソブエ</t>
    </rPh>
    <rPh sb="12" eb="13">
      <t>モリ</t>
    </rPh>
    <rPh sb="13" eb="15">
      <t>オンスイ</t>
    </rPh>
    <rPh sb="24" eb="26">
      <t>ジギョウ</t>
    </rPh>
    <rPh sb="27" eb="28">
      <t>カカ</t>
    </rPh>
    <rPh sb="29" eb="31">
      <t>ガッペイ</t>
    </rPh>
    <rPh sb="31" eb="33">
      <t>トクレイ</t>
    </rPh>
    <rPh sb="33" eb="34">
      <t>サイ</t>
    </rPh>
    <rPh sb="51" eb="53">
      <t>ガンキン</t>
    </rPh>
    <rPh sb="63" eb="64">
      <t>セン</t>
    </rPh>
    <phoneticPr fontId="2"/>
  </si>
  <si>
    <t>令和２年度借入の大里西公民館整備事業に係る合併特例債（借入額 318,600千円 R6元金償還額 18,740千円）等に係る元金償還が始まったことにより増となった。</t>
    <rPh sb="0" eb="2">
      <t>レイワ</t>
    </rPh>
    <rPh sb="3" eb="5">
      <t>ネンド</t>
    </rPh>
    <rPh sb="5" eb="7">
      <t>カリイレ</t>
    </rPh>
    <rPh sb="8" eb="10">
      <t>オオサト</t>
    </rPh>
    <rPh sb="10" eb="11">
      <t>ニシ</t>
    </rPh>
    <rPh sb="11" eb="14">
      <t>コウミンカン</t>
    </rPh>
    <rPh sb="14" eb="16">
      <t>セイビ</t>
    </rPh>
    <rPh sb="16" eb="18">
      <t>ジギョウ</t>
    </rPh>
    <rPh sb="19" eb="20">
      <t>カカ</t>
    </rPh>
    <rPh sb="21" eb="23">
      <t>ガッペイ</t>
    </rPh>
    <rPh sb="23" eb="25">
      <t>トクレイ</t>
    </rPh>
    <rPh sb="25" eb="26">
      <t>サイ</t>
    </rPh>
    <rPh sb="43" eb="45">
      <t>ガンキン</t>
    </rPh>
    <rPh sb="55" eb="56">
      <t>セン</t>
    </rPh>
    <phoneticPr fontId="2"/>
  </si>
  <si>
    <t>〇病院事業会計では、お令和４年度の電子カルテシステム更新等の財源とするため、令和４年９月２０日に843,500千円を愛知西農協から借り入れ（１年据置・５年償還）たことに伴い、
　令和５年３月と９月が元金据え置きとなり、令和５年度は令和６年３月の１回のみ（105,437,500円）であったものが、令和６年度は９月と３月の２回の償還となったことによる増額
（令和４年度元金償還額：289,795,930円、令和５年度元金償還額：414,392,522円、令和６年度元金償還額：547,030,400円）
〇集落排水事業会計では、公共下水道と同様に「集落排水事業に係る減価償却費及び資産減耗費に要する経費」を補助金で繰出すように改正したため。（0円→59,270,599円（皆増））
〇公共下水道事業会計では、日光川上流流域の単価見直し（３年毎）に伴い㎡あたり65.7円から72.7円に増加したことにより、39,210千円の増となったため（310,630千円→349,840千円）</t>
    <rPh sb="1" eb="3">
      <t>ビョウイン</t>
    </rPh>
    <rPh sb="3" eb="5">
      <t>ジギョウ</t>
    </rPh>
    <rPh sb="5" eb="7">
      <t>カイケイ</t>
    </rPh>
    <rPh sb="109" eb="111">
      <t>レイワ</t>
    </rPh>
    <rPh sb="112" eb="114">
      <t>ネンド</t>
    </rPh>
    <rPh sb="123" eb="124">
      <t>カイ</t>
    </rPh>
    <rPh sb="148" eb="150">
      <t>レイワ</t>
    </rPh>
    <rPh sb="151" eb="153">
      <t>ネンド</t>
    </rPh>
    <rPh sb="161" eb="162">
      <t>カイ</t>
    </rPh>
    <rPh sb="163" eb="165">
      <t>ショウカン</t>
    </rPh>
    <rPh sb="252" eb="254">
      <t>シュウラク</t>
    </rPh>
    <rPh sb="254" eb="256">
      <t>ハイスイ</t>
    </rPh>
    <rPh sb="256" eb="258">
      <t>ジギョウ</t>
    </rPh>
    <rPh sb="258" eb="260">
      <t>カイケイ</t>
    </rPh>
    <rPh sb="341" eb="343">
      <t>コウキョウ</t>
    </rPh>
    <rPh sb="343" eb="346">
      <t>ゲスイドウ</t>
    </rPh>
    <rPh sb="346" eb="348">
      <t>ジギョウ</t>
    </rPh>
    <rPh sb="348" eb="350">
      <t>カイケイ</t>
    </rPh>
    <rPh sb="353" eb="355">
      <t>ニッコウ</t>
    </rPh>
    <rPh sb="355" eb="356">
      <t>カワ</t>
    </rPh>
    <rPh sb="356" eb="357">
      <t>ウエ</t>
    </rPh>
    <rPh sb="357" eb="358">
      <t>ナガ</t>
    </rPh>
    <rPh sb="358" eb="360">
      <t>リュウイキ</t>
    </rPh>
    <rPh sb="361" eb="363">
      <t>タンカ</t>
    </rPh>
    <rPh sb="363" eb="365">
      <t>ミナオ</t>
    </rPh>
    <rPh sb="368" eb="369">
      <t>ネン</t>
    </rPh>
    <rPh sb="369" eb="370">
      <t>ゴト</t>
    </rPh>
    <rPh sb="372" eb="373">
      <t>トモナ</t>
    </rPh>
    <rPh sb="382" eb="383">
      <t>エン</t>
    </rPh>
    <rPh sb="389" eb="390">
      <t>エン</t>
    </rPh>
    <rPh sb="391" eb="393">
      <t>ゾウカ</t>
    </rPh>
    <rPh sb="407" eb="408">
      <t>セン</t>
    </rPh>
    <rPh sb="408" eb="409">
      <t>エン</t>
    </rPh>
    <rPh sb="410" eb="411">
      <t>ゾウ</t>
    </rPh>
    <phoneticPr fontId="2"/>
  </si>
  <si>
    <t>・令和３年度臨時財政対策債償還基金費の措置に伴う令和６年度分の償還金に充当する額　1,777千円、
・令和５年度臨時財政対策債償還基金費の措置に伴う令和６年度分の償還金に充当する額　69,099千円を減債基金から充当したため増額となったもの</t>
    <rPh sb="100" eb="102">
      <t>ゲンサイ</t>
    </rPh>
    <rPh sb="102" eb="104">
      <t>キキン</t>
    </rPh>
    <rPh sb="106" eb="108">
      <t>ジュウトウ</t>
    </rPh>
    <rPh sb="112" eb="114">
      <t>ゾウガク</t>
    </rPh>
    <phoneticPr fontId="2"/>
  </si>
  <si>
    <t>・病院事業は、令和６年度に242,800千円を借り入れた一方で、547,030千円を償還したことにより元金の残高が304,230千円の減額となったことなどによる</t>
    <rPh sb="1" eb="3">
      <t>ビョウイン</t>
    </rPh>
    <rPh sb="3" eb="5">
      <t>ジギョウ</t>
    </rPh>
    <rPh sb="23" eb="24">
      <t>カ</t>
    </rPh>
    <rPh sb="25" eb="26">
      <t>イ</t>
    </rPh>
    <rPh sb="28" eb="30">
      <t>イッポウ</t>
    </rPh>
    <rPh sb="51" eb="53">
      <t>ガンキン</t>
    </rPh>
    <rPh sb="54" eb="56">
      <t>ザンダカ</t>
    </rPh>
    <phoneticPr fontId="2"/>
  </si>
  <si>
    <t>・公共下水道事業は、令和６年度に260,900千円を借り入れた一方で、1,034,434千円を償還したことにより元金の残高が773,533千円の減額となったことなどによる</t>
    <rPh sb="1" eb="3">
      <t>コウキョウ</t>
    </rPh>
    <rPh sb="3" eb="6">
      <t>ゲスイドウ</t>
    </rPh>
    <rPh sb="6" eb="8">
      <t>ジギョウ</t>
    </rPh>
    <rPh sb="10" eb="12">
      <t>レイワ</t>
    </rPh>
    <rPh sb="13" eb="15">
      <t>ネンド</t>
    </rPh>
    <rPh sb="23" eb="24">
      <t>チ</t>
    </rPh>
    <rPh sb="24" eb="25">
      <t>エン</t>
    </rPh>
    <rPh sb="26" eb="27">
      <t>カ</t>
    </rPh>
    <rPh sb="28" eb="29">
      <t>イ</t>
    </rPh>
    <rPh sb="31" eb="33">
      <t>イッポウ</t>
    </rPh>
    <rPh sb="44" eb="45">
      <t>チ</t>
    </rPh>
    <rPh sb="45" eb="46">
      <t>エン</t>
    </rPh>
    <rPh sb="47" eb="49">
      <t>ショウカン</t>
    </rPh>
    <rPh sb="56" eb="58">
      <t>ガンキン</t>
    </rPh>
    <rPh sb="59" eb="61">
      <t>ザンダカ</t>
    </rPh>
    <rPh sb="69" eb="70">
      <t>チ</t>
    </rPh>
    <rPh sb="70" eb="71">
      <t>エン</t>
    </rPh>
    <rPh sb="72" eb="74">
      <t>ゲンガク</t>
    </rPh>
    <phoneticPr fontId="2"/>
  </si>
  <si>
    <t>・集落排水事業会計は、公共下水道と同様に「集落排水事業に係る減価償却費及び資産減耗費に要する経費」を補助金で繰出すように改正したことにより準元利償還金</t>
    <rPh sb="69" eb="70">
      <t>ジュン</t>
    </rPh>
    <rPh sb="70" eb="72">
      <t>ガンリ</t>
    </rPh>
    <rPh sb="72" eb="75">
      <t>ショウカンキン</t>
    </rPh>
    <phoneticPr fontId="2"/>
  </si>
  <si>
    <t>　が増加し、準元利償還金に対する元金償還金の割合が増加したことなどによる</t>
    <rPh sb="6" eb="7">
      <t>ジュン</t>
    </rPh>
    <rPh sb="7" eb="9">
      <t>ガンリ</t>
    </rPh>
    <rPh sb="9" eb="12">
      <t>ショウカンキン</t>
    </rPh>
    <rPh sb="13" eb="14">
      <t>タイ</t>
    </rPh>
    <rPh sb="16" eb="18">
      <t>ガンキン</t>
    </rPh>
    <rPh sb="18" eb="20">
      <t>ショウカン</t>
    </rPh>
    <rPh sb="20" eb="21">
      <t>キン</t>
    </rPh>
    <rPh sb="22" eb="24">
      <t>ワリアイ</t>
    </rPh>
    <rPh sb="25" eb="27">
      <t>ゾウカ</t>
    </rPh>
    <phoneticPr fontId="2"/>
  </si>
  <si>
    <t>・債務負担行為は、稲沢市立稲沢西第2児童クラブ建物借上料の開始に伴うもの（期間：令和５年度から令和11年度まで、限度額１億7,908万円
令和６年度から支払い開始）</t>
    <rPh sb="1" eb="3">
      <t>サイム</t>
    </rPh>
    <rPh sb="3" eb="5">
      <t>フタン</t>
    </rPh>
    <rPh sb="5" eb="7">
      <t>コウイ</t>
    </rPh>
    <rPh sb="29" eb="31">
      <t>カイシ</t>
    </rPh>
    <rPh sb="32" eb="33">
      <t>トモナ</t>
    </rPh>
    <phoneticPr fontId="2"/>
  </si>
  <si>
    <t>〇公営企業債繰入見込</t>
    <phoneticPr fontId="2"/>
  </si>
  <si>
    <t xml:space="preserve"> 元利償還金と同様に、令和２年度借入の新分庁舎等整備事業、祖父江生涯学習施設整備事業、小中学校校内ＬＡＮ整備事業などに係る合併特例債のが金償還が始まったことなどにより、合併特例債の基準財政需要額算入額が123,230千円の増額となった一方で、臨時財政対策債が127,358千円の減額、下水道事業に係る公害防止事業債が53,635千円の減となったもの</t>
    <rPh sb="1" eb="3">
      <t>ガンリ</t>
    </rPh>
    <rPh sb="3" eb="6">
      <t>ショウカンキン</t>
    </rPh>
    <rPh sb="7" eb="9">
      <t>ドウヨウ</t>
    </rPh>
    <rPh sb="11" eb="13">
      <t>レイワ</t>
    </rPh>
    <rPh sb="14" eb="16">
      <t>ネンド</t>
    </rPh>
    <rPh sb="16" eb="18">
      <t>カリイレ</t>
    </rPh>
    <rPh sb="19" eb="20">
      <t>シン</t>
    </rPh>
    <rPh sb="20" eb="23">
      <t>ブンチョウシャ</t>
    </rPh>
    <rPh sb="23" eb="24">
      <t>トウ</t>
    </rPh>
    <rPh sb="24" eb="26">
      <t>セイビ</t>
    </rPh>
    <rPh sb="26" eb="28">
      <t>ジギョウ</t>
    </rPh>
    <rPh sb="29" eb="32">
      <t>ソブエ</t>
    </rPh>
    <rPh sb="32" eb="34">
      <t>ショウガイ</t>
    </rPh>
    <rPh sb="34" eb="36">
      <t>ガクシュウ</t>
    </rPh>
    <rPh sb="36" eb="38">
      <t>シセツ</t>
    </rPh>
    <rPh sb="38" eb="40">
      <t>セイビ</t>
    </rPh>
    <rPh sb="40" eb="42">
      <t>ジギョウ</t>
    </rPh>
    <rPh sb="43" eb="47">
      <t>ショウチュウガッコウ</t>
    </rPh>
    <rPh sb="47" eb="49">
      <t>コウナイ</t>
    </rPh>
    <rPh sb="52" eb="54">
      <t>セイビ</t>
    </rPh>
    <rPh sb="54" eb="56">
      <t>ジギョウ</t>
    </rPh>
    <rPh sb="59" eb="60">
      <t>カカ</t>
    </rPh>
    <rPh sb="61" eb="63">
      <t>ガッペイ</t>
    </rPh>
    <rPh sb="63" eb="65">
      <t>トクレイ</t>
    </rPh>
    <rPh sb="65" eb="66">
      <t>サイ</t>
    </rPh>
    <rPh sb="68" eb="69">
      <t>キン</t>
    </rPh>
    <rPh sb="69" eb="71">
      <t>ショウカン</t>
    </rPh>
    <rPh sb="72" eb="73">
      <t>ハジ</t>
    </rPh>
    <rPh sb="84" eb="86">
      <t>ガッペイ</t>
    </rPh>
    <rPh sb="86" eb="88">
      <t>トクレイ</t>
    </rPh>
    <rPh sb="88" eb="89">
      <t>サイ</t>
    </rPh>
    <rPh sb="90" eb="92">
      <t>キジュン</t>
    </rPh>
    <rPh sb="92" eb="94">
      <t>ザイセイ</t>
    </rPh>
    <rPh sb="94" eb="96">
      <t>ジュヨウ</t>
    </rPh>
    <rPh sb="96" eb="97">
      <t>ガク</t>
    </rPh>
    <rPh sb="97" eb="99">
      <t>サンニュウ</t>
    </rPh>
    <rPh sb="99" eb="100">
      <t>ガク</t>
    </rPh>
    <rPh sb="108" eb="109">
      <t>セン</t>
    </rPh>
    <rPh sb="109" eb="110">
      <t>エン</t>
    </rPh>
    <rPh sb="111" eb="113">
      <t>ゾウガク</t>
    </rPh>
    <rPh sb="117" eb="119">
      <t>イッポウ</t>
    </rPh>
    <rPh sb="121" eb="123">
      <t>リンジ</t>
    </rPh>
    <rPh sb="123" eb="125">
      <t>ザイセイ</t>
    </rPh>
    <rPh sb="125" eb="127">
      <t>タイサク</t>
    </rPh>
    <rPh sb="127" eb="128">
      <t>サイ</t>
    </rPh>
    <rPh sb="136" eb="137">
      <t>セン</t>
    </rPh>
    <rPh sb="137" eb="138">
      <t>エン</t>
    </rPh>
    <rPh sb="139" eb="141">
      <t>ゲンガク</t>
    </rPh>
    <rPh sb="142" eb="145">
      <t>ゲスイドウ</t>
    </rPh>
    <rPh sb="145" eb="147">
      <t>ジギョウ</t>
    </rPh>
    <rPh sb="148" eb="149">
      <t>カカ</t>
    </rPh>
    <rPh sb="150" eb="152">
      <t>コウガイ</t>
    </rPh>
    <rPh sb="152" eb="154">
      <t>ボウシ</t>
    </rPh>
    <rPh sb="154" eb="156">
      <t>ジギョウ</t>
    </rPh>
    <rPh sb="156" eb="157">
      <t>サイ</t>
    </rPh>
    <rPh sb="164" eb="165">
      <t>セン</t>
    </rPh>
    <rPh sb="165" eb="166">
      <t>エン</t>
    </rPh>
    <rPh sb="167" eb="168">
      <t>ゲン</t>
    </rPh>
    <phoneticPr fontId="2"/>
  </si>
  <si>
    <t>〇退職手当は、人事院勧告による給与改定などの影響により増額となったもの</t>
    <rPh sb="1" eb="3">
      <t>タイショク</t>
    </rPh>
    <rPh sb="3" eb="5">
      <t>テアテ</t>
    </rPh>
    <rPh sb="7" eb="10">
      <t>ジンジイン</t>
    </rPh>
    <rPh sb="10" eb="12">
      <t>カンコク</t>
    </rPh>
    <rPh sb="15" eb="17">
      <t>キュウヨ</t>
    </rPh>
    <rPh sb="17" eb="19">
      <t>カイテイ</t>
    </rPh>
    <rPh sb="22" eb="24">
      <t>エイキョウ</t>
    </rPh>
    <rPh sb="27" eb="29">
      <t>ゾウガク</t>
    </rPh>
    <phoneticPr fontId="2"/>
  </si>
  <si>
    <t>〇特定財源は、令和６年度の市営住宅の元金償還により、元金残高が34,548千円の減となったことに加え、令和3年度の都市計画税の充当率0.699から</t>
    <rPh sb="1" eb="3">
      <t>トクテイ</t>
    </rPh>
    <rPh sb="3" eb="5">
      <t>ザイゲン</t>
    </rPh>
    <rPh sb="7" eb="9">
      <t>レイワ</t>
    </rPh>
    <rPh sb="10" eb="12">
      <t>ネンド</t>
    </rPh>
    <rPh sb="13" eb="15">
      <t>シエイ</t>
    </rPh>
    <rPh sb="15" eb="17">
      <t>ジュウタク</t>
    </rPh>
    <rPh sb="18" eb="20">
      <t>ガンキン</t>
    </rPh>
    <rPh sb="20" eb="22">
      <t>ショウカン</t>
    </rPh>
    <rPh sb="26" eb="28">
      <t>ガンキン</t>
    </rPh>
    <rPh sb="28" eb="30">
      <t>ザンダカ</t>
    </rPh>
    <rPh sb="37" eb="38">
      <t>セン</t>
    </rPh>
    <rPh sb="38" eb="39">
      <t>エン</t>
    </rPh>
    <rPh sb="40" eb="41">
      <t>ゲン</t>
    </rPh>
    <rPh sb="48" eb="49">
      <t>クワ</t>
    </rPh>
    <rPh sb="51" eb="53">
      <t>レイワ</t>
    </rPh>
    <rPh sb="54" eb="55">
      <t>ネン</t>
    </rPh>
    <rPh sb="55" eb="56">
      <t>ド</t>
    </rPh>
    <rPh sb="57" eb="59">
      <t>トシ</t>
    </rPh>
    <rPh sb="59" eb="61">
      <t>ケイカク</t>
    </rPh>
    <rPh sb="61" eb="62">
      <t>ゼイ</t>
    </rPh>
    <rPh sb="63" eb="65">
      <t>ジュウトウ</t>
    </rPh>
    <rPh sb="65" eb="66">
      <t>リツ</t>
    </rPh>
    <phoneticPr fontId="2"/>
  </si>
  <si>
    <t>　令和６年度の充当率が0.687と0.012ポイント減少したことにより、3か年の平均充当率が0.004ポイントの減少となったことから都市計画税充当見込額が35,819千円の</t>
    <phoneticPr fontId="2"/>
  </si>
  <si>
    <t>　減額となったもの</t>
    <phoneticPr fontId="2"/>
  </si>
  <si>
    <t xml:space="preserve">〇充当可能基金額は、井之口学校給食センター整備事業に５億円、物価高騰による経済事情の変動に伴う、財源不足に対応するため市債の償還（元金）の財源として
</t>
    <rPh sb="10" eb="13">
      <t>イノクチ</t>
    </rPh>
    <rPh sb="13" eb="15">
      <t>ガッコウ</t>
    </rPh>
    <rPh sb="15" eb="17">
      <t>キュウショク</t>
    </rPh>
    <rPh sb="21" eb="23">
      <t>セイビ</t>
    </rPh>
    <rPh sb="23" eb="25">
      <t>ジギョウ</t>
    </rPh>
    <rPh sb="27" eb="29">
      <t>オクエン</t>
    </rPh>
    <phoneticPr fontId="2"/>
  </si>
  <si>
    <t>　減債基金を5億70万1千円、令和６年度の不足する財源として財政調整基金を3億7,153万5千円、障害者医療費や精神障害者医療費などの福祉事業に2億4,700万円取り崩した</t>
    <phoneticPr fontId="2"/>
  </si>
  <si>
    <t>　ことなどにより、一般会計で約15億7,300万円をと崩したとともに、特別会計の安定的な運営を図るため、国民健康保険事業基金3億2,000万円、介護給付準備基金2億4,000万円</t>
    <phoneticPr fontId="2"/>
  </si>
  <si>
    <t>　を取り崩したことなどにより、21億5,719万8千円の減額となったもの</t>
    <phoneticPr fontId="2"/>
  </si>
  <si>
    <t>〇基準財政需要額の算入は、児童発達支援センタ整備事業に係るこども子育て費が1億4,850万円の増、</t>
    <rPh sb="1" eb="3">
      <t>キジュン</t>
    </rPh>
    <rPh sb="3" eb="5">
      <t>ザイセイ</t>
    </rPh>
    <rPh sb="5" eb="7">
      <t>ジュヨウ</t>
    </rPh>
    <rPh sb="7" eb="8">
      <t>ガク</t>
    </rPh>
    <rPh sb="9" eb="11">
      <t>サンニュウ</t>
    </rPh>
    <rPh sb="13" eb="15">
      <t>ジドウ</t>
    </rPh>
    <rPh sb="15" eb="17">
      <t>ハッタツ</t>
    </rPh>
    <rPh sb="17" eb="19">
      <t>シエン</t>
    </rPh>
    <rPh sb="22" eb="24">
      <t>セイビ</t>
    </rPh>
    <rPh sb="24" eb="26">
      <t>ジギョウ</t>
    </rPh>
    <rPh sb="27" eb="28">
      <t>カカ</t>
    </rPh>
    <rPh sb="32" eb="34">
      <t>コソダ</t>
    </rPh>
    <rPh sb="35" eb="36">
      <t>ヒ</t>
    </rPh>
    <rPh sb="38" eb="39">
      <t>オク</t>
    </rPh>
    <rPh sb="44" eb="46">
      <t>マンエン</t>
    </rPh>
    <rPh sb="47" eb="48">
      <t>ゾウ</t>
    </rPh>
    <phoneticPr fontId="2"/>
  </si>
  <si>
    <t>　中学校屋内運動場空調整備事業などに係る緊急防災減災事業が5億7,092万円の増となった一方で、</t>
    <rPh sb="30" eb="31">
      <t>オク</t>
    </rPh>
    <rPh sb="36" eb="38">
      <t>マンエン</t>
    </rPh>
    <rPh sb="39" eb="40">
      <t>ゾウ</t>
    </rPh>
    <rPh sb="44" eb="46">
      <t>イッポウ</t>
    </rPh>
    <phoneticPr fontId="2"/>
  </si>
  <si>
    <t>　令和６年度の元金償還により、臨時財政対策債が18億8,335万3千円、合併特例債が11億2,673万1千円の減となったこと</t>
    <rPh sb="1" eb="3">
      <t>レイワ</t>
    </rPh>
    <rPh sb="4" eb="6">
      <t>ネンド</t>
    </rPh>
    <rPh sb="7" eb="9">
      <t>ガンキン</t>
    </rPh>
    <rPh sb="9" eb="11">
      <t>ショウカン</t>
    </rPh>
    <rPh sb="15" eb="17">
      <t>リンジ</t>
    </rPh>
    <rPh sb="17" eb="19">
      <t>ザイセイ</t>
    </rPh>
    <rPh sb="19" eb="21">
      <t>タイサク</t>
    </rPh>
    <rPh sb="21" eb="22">
      <t>サイ</t>
    </rPh>
    <rPh sb="25" eb="26">
      <t>オク</t>
    </rPh>
    <rPh sb="31" eb="32">
      <t>マン</t>
    </rPh>
    <rPh sb="33" eb="35">
      <t>センエン</t>
    </rPh>
    <rPh sb="36" eb="38">
      <t>ガッペイ</t>
    </rPh>
    <rPh sb="38" eb="40">
      <t>トクレイ</t>
    </rPh>
    <rPh sb="40" eb="41">
      <t>サイ</t>
    </rPh>
    <rPh sb="44" eb="45">
      <t>オク</t>
    </rPh>
    <rPh sb="50" eb="51">
      <t>マン</t>
    </rPh>
    <rPh sb="52" eb="54">
      <t>センエン</t>
    </rPh>
    <rPh sb="55" eb="56">
      <t>ゲン</t>
    </rPh>
    <phoneticPr fontId="2"/>
  </si>
  <si>
    <t>　などにより、25億722万8千円の減となったもの</t>
    <rPh sb="9" eb="10">
      <t>オク</t>
    </rPh>
    <rPh sb="13" eb="14">
      <t>マン</t>
    </rPh>
    <rPh sb="15" eb="16">
      <t>セン</t>
    </rPh>
    <rPh sb="16" eb="17">
      <t>エン</t>
    </rPh>
    <rPh sb="18" eb="19">
      <t>ゲン</t>
    </rPh>
    <phoneticPr fontId="2"/>
  </si>
  <si>
    <t>〇地方債残高は、令和6年度に48億9,795万6,703円の元金償還となったものの、</t>
    <rPh sb="1" eb="4">
      <t>チホウサイ</t>
    </rPh>
    <rPh sb="4" eb="6">
      <t>ザンダカ</t>
    </rPh>
    <rPh sb="8" eb="10">
      <t>レイワ</t>
    </rPh>
    <rPh sb="11" eb="13">
      <t>ネンド</t>
    </rPh>
    <rPh sb="16" eb="17">
      <t>オク</t>
    </rPh>
    <rPh sb="22" eb="23">
      <t>マン</t>
    </rPh>
    <rPh sb="28" eb="29">
      <t>エン</t>
    </rPh>
    <rPh sb="30" eb="32">
      <t>ガンキン</t>
    </rPh>
    <rPh sb="32" eb="34">
      <t>ショウカン</t>
    </rPh>
    <phoneticPr fontId="2"/>
  </si>
  <si>
    <t>　井之口学校給食センター整備事業に係る義務教育債及び合併特例債が17億3,390万円、中学校屋内運動場空調整備に係る</t>
    <rPh sb="17" eb="18">
      <t>カカ</t>
    </rPh>
    <rPh sb="19" eb="21">
      <t>ギム</t>
    </rPh>
    <rPh sb="21" eb="23">
      <t>キョウイク</t>
    </rPh>
    <rPh sb="23" eb="24">
      <t>サイ</t>
    </rPh>
    <rPh sb="24" eb="25">
      <t>オヨ</t>
    </rPh>
    <rPh sb="26" eb="28">
      <t>ガッペイ</t>
    </rPh>
    <rPh sb="28" eb="30">
      <t>トクレイ</t>
    </rPh>
    <rPh sb="30" eb="31">
      <t>サイ</t>
    </rPh>
    <rPh sb="34" eb="35">
      <t>オク</t>
    </rPh>
    <rPh sb="40" eb="42">
      <t>マンエン</t>
    </rPh>
    <rPh sb="43" eb="46">
      <t>チュウガッコウ</t>
    </rPh>
    <rPh sb="46" eb="48">
      <t>オクナイ</t>
    </rPh>
    <rPh sb="48" eb="51">
      <t>ウンドウジョウ</t>
    </rPh>
    <rPh sb="51" eb="53">
      <t>クウチョウ</t>
    </rPh>
    <rPh sb="53" eb="55">
      <t>セイビ</t>
    </rPh>
    <rPh sb="56" eb="57">
      <t>カカ</t>
    </rPh>
    <phoneticPr fontId="2"/>
  </si>
  <si>
    <t>　緊急防災減災事業債　3億8,740万円（全体で8億3,690万円）、汚水処理施設下水道接続事業に係る一般廃棄物処理事業債</t>
    <rPh sb="1" eb="3">
      <t>キンキュウ</t>
    </rPh>
    <rPh sb="3" eb="5">
      <t>ボウサイ</t>
    </rPh>
    <rPh sb="5" eb="7">
      <t>ゲンサイ</t>
    </rPh>
    <rPh sb="7" eb="9">
      <t>ジギョウ</t>
    </rPh>
    <rPh sb="9" eb="10">
      <t>サイ</t>
    </rPh>
    <rPh sb="12" eb="13">
      <t>オク</t>
    </rPh>
    <rPh sb="18" eb="20">
      <t>マンエン</t>
    </rPh>
    <rPh sb="21" eb="23">
      <t>ゼンタイ</t>
    </rPh>
    <rPh sb="25" eb="26">
      <t>オク</t>
    </rPh>
    <rPh sb="31" eb="33">
      <t>マンエン</t>
    </rPh>
    <rPh sb="35" eb="37">
      <t>オスイ</t>
    </rPh>
    <rPh sb="37" eb="39">
      <t>ショリ</t>
    </rPh>
    <rPh sb="39" eb="41">
      <t>シセツ</t>
    </rPh>
    <rPh sb="41" eb="44">
      <t>ゲスイドウ</t>
    </rPh>
    <rPh sb="44" eb="46">
      <t>セツゾク</t>
    </rPh>
    <rPh sb="46" eb="48">
      <t>ジギョウ</t>
    </rPh>
    <rPh sb="49" eb="50">
      <t>カカ</t>
    </rPh>
    <rPh sb="51" eb="53">
      <t>イッパン</t>
    </rPh>
    <rPh sb="53" eb="56">
      <t>ハイキブツ</t>
    </rPh>
    <rPh sb="56" eb="58">
      <t>ショリ</t>
    </rPh>
    <rPh sb="58" eb="60">
      <t>ジギョウ</t>
    </rPh>
    <rPh sb="60" eb="61">
      <t>サイ</t>
    </rPh>
    <phoneticPr fontId="2"/>
  </si>
  <si>
    <t>　2億3,470万円、道路や施設に係る公共施設適正化債に5億2,200万円を借り入れるなど一般会計で48億9,800万円を令和６年度に</t>
    <rPh sb="11" eb="13">
      <t>ドウロ</t>
    </rPh>
    <rPh sb="14" eb="16">
      <t>シセツ</t>
    </rPh>
    <rPh sb="17" eb="18">
      <t>カカ</t>
    </rPh>
    <rPh sb="19" eb="21">
      <t>コウキョウ</t>
    </rPh>
    <rPh sb="21" eb="23">
      <t>シセツ</t>
    </rPh>
    <rPh sb="23" eb="26">
      <t>テキセイカ</t>
    </rPh>
    <rPh sb="26" eb="27">
      <t>サイ</t>
    </rPh>
    <rPh sb="29" eb="30">
      <t>オク</t>
    </rPh>
    <rPh sb="35" eb="37">
      <t>マンエン</t>
    </rPh>
    <rPh sb="38" eb="39">
      <t>カ</t>
    </rPh>
    <rPh sb="40" eb="41">
      <t>イ</t>
    </rPh>
    <rPh sb="45" eb="47">
      <t>イッパン</t>
    </rPh>
    <rPh sb="47" eb="49">
      <t>カイケイ</t>
    </rPh>
    <rPh sb="52" eb="53">
      <t>オク</t>
    </rPh>
    <rPh sb="58" eb="60">
      <t>マンエン</t>
    </rPh>
    <rPh sb="61" eb="63">
      <t>レイワ</t>
    </rPh>
    <rPh sb="64" eb="66">
      <t>ネンド</t>
    </rPh>
    <phoneticPr fontId="2"/>
  </si>
  <si>
    <t>　借り入れたことにより横ばいとなったもの</t>
    <rPh sb="1" eb="2">
      <t>カ</t>
    </rPh>
    <rPh sb="3" eb="4">
      <t>イ</t>
    </rPh>
    <rPh sb="11" eb="12">
      <t>ヨコ</t>
    </rPh>
    <phoneticPr fontId="2"/>
  </si>
  <si>
    <t>・公債費に準ずる債務負担行為に係るもののうち尾西病院資金元利金償還補助金が26,375千円の皆減となった一方で、稲沢市立稲沢西第2児童クラブ建物借上料が26,334千円の皆増となったもの</t>
    <rPh sb="1" eb="4">
      <t>コウサイヒ</t>
    </rPh>
    <rPh sb="5" eb="6">
      <t>ジュン</t>
    </rPh>
    <rPh sb="8" eb="10">
      <t>サイム</t>
    </rPh>
    <rPh sb="10" eb="12">
      <t>フタン</t>
    </rPh>
    <rPh sb="12" eb="14">
      <t>コウイ</t>
    </rPh>
    <rPh sb="15" eb="16">
      <t>カカ</t>
    </rPh>
    <rPh sb="47" eb="48">
      <t>ゲン</t>
    </rPh>
    <phoneticPr fontId="2"/>
  </si>
  <si>
    <t>令和６年度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</si>
</sst>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6" formatCode="&quot;¥&quot;#,##0;[Red]&quot;¥&quot;\-#,##0"/>
    <numFmt numFmtId="176" formatCode="#,##0;&quot;△ &quot;#,##0"/>
    <numFmt numFmtId="177" formatCode="0.0;&quot;△ &quot;0.0"/>
    <numFmt numFmtId="178" formatCode="0.00;&quot;△ &quot;0.00"/>
    <numFmt numFmtId="179" formatCode="#,##0.00;&quot;△ &quot;#,##0.00"/>
    <numFmt numFmtId="180" formatCode="#,##0\ "/>
    <numFmt numFmtId="181" formatCode="0.00000_ "/>
    <numFmt numFmtId="182" formatCode="#,##0.0;&quot;△ &quot;#,##0.0"/>
    <numFmt numFmtId="183" formatCode="0_);[Red]\(0\)"/>
    <numFmt numFmtId="184" formatCode="0.0_);[Red]\(0.0\)"/>
    <numFmt numFmtId="185" formatCode="#,##0.000;&quot;△ &quot;#,##0.000"/>
    <numFmt numFmtId="186" formatCode="#,##0_ "/>
    <numFmt numFmtId="187" formatCode="0.0_ "/>
    <numFmt numFmtId="188" formatCode="#,##0.00000;&quot;△ &quot;#,##0.00000"/>
    <numFmt numFmtId="189" formatCode="#,##0.00000_ "/>
    <numFmt numFmtId="190" formatCode="0.00000_);[Red]\(0.00000\)"/>
    <numFmt numFmtId="191" formatCode="#,##0.0_ "/>
    <numFmt numFmtId="192" formatCode="0.00_);[Red]\(0.00\)"/>
    <numFmt numFmtId="193" formatCode="0.00_ "/>
    <numFmt numFmtId="194" formatCode="&quot;(△&quot;#,##0.##&quot;)&quot;"/>
    <numFmt numFmtId="195" formatCode="&quot;(△&quot;#,##0.00&quot;)&quot;"/>
    <numFmt numFmtId="196" formatCode="0.000_);[Red]\(0.000\)"/>
    <numFmt numFmtId="197" formatCode="0;&quot;△ &quot;0"/>
    <numFmt numFmtId="198" formatCode="0.0%"/>
    <numFmt numFmtId="199" formatCode="\(#,##0;[Red]\-#,##0"/>
    <numFmt numFmtId="200" formatCode="#,##0&quot;)&quot;"/>
    <numFmt numFmtId="201" formatCode="#,##0;&quot;▲ &quot;#,##0"/>
    <numFmt numFmtId="202" formatCode="#,##0.000;&quot;▲ &quot;#,##0.000"/>
    <numFmt numFmtId="203" formatCode="0.0;&quot;▲ &quot;0.0"/>
    <numFmt numFmtId="204" formatCode="0;__x0000_"/>
    <numFmt numFmtId="205" formatCode="0_ ;[Red]\-0\ "/>
    <numFmt numFmtId="206" formatCode="0.0_ ;[Red]\-0.0\ "/>
    <numFmt numFmtId="207" formatCode="#,##0.000_ ;[Red]\-#,##0.000\ "/>
    <numFmt numFmtId="208" formatCode="#,##0.0_ ;[Red]\-#,##0.0\ "/>
    <numFmt numFmtId="209" formatCode="0.000%"/>
    <numFmt numFmtId="210" formatCode="0.00;&quot;▲ &quot;0.00"/>
    <numFmt numFmtId="211" formatCode="0_ "/>
    <numFmt numFmtId="212" formatCode="0.0000%"/>
    <numFmt numFmtId="213" formatCode="&quot;(△&quot;#,##0.#####0&quot;)&quot;"/>
    <numFmt numFmtId="214" formatCode="&quot;(△&quot;#,##0.#####&quot;)&quot;"/>
    <numFmt numFmtId="215" formatCode="\(#,##0\)"/>
    <numFmt numFmtId="216" formatCode="&quot;(△&quot;#,##0&quot;)&quot;"/>
    <numFmt numFmtId="217" formatCode="&quot;(△&quot;#,##0.#####&quot;%)&quot;"/>
    <numFmt numFmtId="218" formatCode="&quot;(△&quot;#,##0.####&quot;)&quot;"/>
    <numFmt numFmtId="219" formatCode="&quot;(△&quot;#,##0.########0&quot;%)&quot;"/>
    <numFmt numFmtId="220" formatCode="#,##0.0"/>
  </numFmts>
  <fonts count="88">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ゴシック"/>
      <family val="3"/>
      <charset val="128"/>
    </font>
    <font>
      <sz val="10.5"/>
      <name val="ＭＳ 明朝"/>
      <family val="1"/>
      <charset val="128"/>
    </font>
    <font>
      <b/>
      <sz val="11"/>
      <name val="ＭＳ Ｐゴシック"/>
      <family val="3"/>
      <charset val="128"/>
    </font>
    <font>
      <b/>
      <sz val="11"/>
      <name val="ＭＳ ゴシック"/>
      <family val="3"/>
      <charset val="128"/>
    </font>
    <font>
      <b/>
      <sz val="14"/>
      <name val="ＭＳ ゴシック"/>
      <family val="3"/>
      <charset val="128"/>
    </font>
    <font>
      <sz val="10"/>
      <name val="ＭＳ Ｐゴシック"/>
      <family val="3"/>
      <charset val="128"/>
    </font>
    <font>
      <b/>
      <sz val="12"/>
      <name val="ＭＳ ゴシック"/>
      <family val="3"/>
      <charset val="128"/>
    </font>
    <font>
      <sz val="10"/>
      <name val="ＭＳ ゴシック"/>
      <family val="3"/>
      <charset val="128"/>
    </font>
    <font>
      <b/>
      <sz val="10"/>
      <name val="ＭＳ ゴシック"/>
      <family val="3"/>
      <charset val="128"/>
    </font>
    <font>
      <b/>
      <sz val="10"/>
      <name val="ＭＳ 明朝"/>
      <family val="1"/>
      <charset val="128"/>
    </font>
    <font>
      <b/>
      <sz val="16"/>
      <name val="ＭＳ ゴシック"/>
      <family val="3"/>
      <charset val="128"/>
    </font>
    <font>
      <sz val="8"/>
      <name val="ＭＳ Ｐゴシック"/>
      <family val="3"/>
      <charset val="128"/>
    </font>
    <font>
      <sz val="12"/>
      <name val="ＭＳ ゴシック"/>
      <family val="3"/>
      <charset val="128"/>
    </font>
    <font>
      <sz val="12"/>
      <name val="ＭＳ Ｐゴシック"/>
      <family val="3"/>
      <charset val="128"/>
    </font>
    <font>
      <sz val="11"/>
      <name val="ＭＳ 明朝"/>
      <family val="1"/>
      <charset val="128"/>
    </font>
    <font>
      <sz val="14"/>
      <name val="ＭＳ ゴシック"/>
      <family val="3"/>
      <charset val="128"/>
    </font>
    <font>
      <sz val="11"/>
      <name val="FUJ明朝体"/>
      <family val="1"/>
      <charset val="128"/>
    </font>
    <font>
      <sz val="6"/>
      <name val="FUJ明朝体"/>
      <family val="1"/>
      <charset val="128"/>
    </font>
    <font>
      <sz val="9"/>
      <name val="ＭＳ Ｐ明朝"/>
      <family val="1"/>
      <charset val="128"/>
    </font>
    <font>
      <sz val="8"/>
      <name val="ＭＳ Ｐ明朝"/>
      <family val="1"/>
      <charset val="128"/>
    </font>
    <font>
      <sz val="9"/>
      <name val="ＭＳ Ｐゴシック"/>
      <family val="3"/>
      <charset val="128"/>
    </font>
    <font>
      <sz val="6"/>
      <name val="ＭＳ Ｐ明朝"/>
      <family val="1"/>
      <charset val="128"/>
    </font>
    <font>
      <sz val="11"/>
      <name val="ＭＳ 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sz val="9"/>
      <name val="ＭＳ ゴシック"/>
      <family val="3"/>
      <charset val="128"/>
    </font>
    <font>
      <b/>
      <sz val="10"/>
      <color indexed="10"/>
      <name val="ＭＳ 明朝"/>
      <family val="1"/>
      <charset val="128"/>
    </font>
    <font>
      <sz val="10"/>
      <color indexed="10"/>
      <name val="ＭＳ 明朝"/>
      <family val="1"/>
      <charset val="128"/>
    </font>
    <font>
      <b/>
      <sz val="14"/>
      <name val="ＭＳ 明朝"/>
      <family val="1"/>
      <charset val="128"/>
    </font>
    <font>
      <b/>
      <sz val="9"/>
      <color indexed="81"/>
      <name val="MS P ゴシック"/>
      <family val="3"/>
      <charset val="128"/>
    </font>
    <font>
      <sz val="11"/>
      <color theme="1"/>
      <name val="ＭＳ Ｐゴシック"/>
      <family val="3"/>
      <charset val="128"/>
      <scheme val="minor"/>
    </font>
    <font>
      <sz val="9"/>
      <color theme="3" tint="0.39997558519241921"/>
      <name val="ＭＳ Ｐ明朝"/>
      <family val="1"/>
      <charset val="128"/>
    </font>
    <font>
      <sz val="11"/>
      <color rgb="FFFF0000"/>
      <name val="ＭＳ 明朝"/>
      <family val="1"/>
      <charset val="128"/>
    </font>
    <font>
      <b/>
      <sz val="11"/>
      <color rgb="FFFF0000"/>
      <name val="ＭＳ Ｐゴシック"/>
      <family val="3"/>
      <charset val="128"/>
    </font>
    <font>
      <sz val="11"/>
      <color rgb="FFFF0000"/>
      <name val="FUJ明朝体"/>
      <family val="1"/>
      <charset val="128"/>
    </font>
    <font>
      <sz val="11"/>
      <color rgb="FFFF0000"/>
      <name val="ＭＳ Ｐゴシック"/>
      <family val="3"/>
      <charset val="128"/>
    </font>
    <font>
      <sz val="11"/>
      <color rgb="FFFF0000"/>
      <name val="ＭＳ ゴシック"/>
      <family val="3"/>
      <charset val="128"/>
    </font>
    <font>
      <sz val="10.5"/>
      <color rgb="FFFF0000"/>
      <name val="ＭＳ 明朝"/>
      <family val="1"/>
      <charset val="128"/>
    </font>
    <font>
      <sz val="10"/>
      <color rgb="FFFF0000"/>
      <name val="ＭＳ 明朝"/>
      <family val="1"/>
      <charset val="128"/>
    </font>
    <font>
      <b/>
      <sz val="10"/>
      <color rgb="FFFF0000"/>
      <name val="ＭＳ Ｐゴシック"/>
      <family val="3"/>
      <charset val="128"/>
    </font>
    <font>
      <sz val="10"/>
      <color theme="1"/>
      <name val="ＭＳ ゴシック"/>
      <family val="3"/>
      <charset val="128"/>
    </font>
    <font>
      <b/>
      <sz val="14"/>
      <color theme="1"/>
      <name val="ＭＳ ゴシック"/>
      <family val="3"/>
      <charset val="128"/>
    </font>
    <font>
      <b/>
      <sz val="10"/>
      <color theme="1"/>
      <name val="ＭＳ ゴシック"/>
      <family val="3"/>
      <charset val="128"/>
    </font>
    <font>
      <b/>
      <sz val="16"/>
      <color theme="1"/>
      <name val="ＭＳ ゴシック"/>
      <family val="3"/>
      <charset val="128"/>
    </font>
    <font>
      <sz val="8"/>
      <color rgb="FFFF0000"/>
      <name val="ＭＳ 明朝"/>
      <family val="1"/>
      <charset val="128"/>
    </font>
    <font>
      <sz val="10.5"/>
      <name val="ＭＳ Ｐゴシック"/>
      <family val="3"/>
      <charset val="128"/>
    </font>
    <font>
      <i/>
      <sz val="10"/>
      <name val="ＭＳ ゴシック"/>
      <family val="3"/>
      <charset val="128"/>
    </font>
    <font>
      <sz val="6"/>
      <name val="ＭＳ ゴシック"/>
      <family val="3"/>
      <charset val="128"/>
    </font>
    <font>
      <sz val="10"/>
      <color rgb="FFFF0000"/>
      <name val="ＭＳ ゴシック"/>
      <family val="3"/>
      <charset val="128"/>
    </font>
    <font>
      <i/>
      <sz val="10"/>
      <color theme="1"/>
      <name val="ＭＳ ゴシック"/>
      <family val="3"/>
      <charset val="128"/>
    </font>
    <font>
      <sz val="6"/>
      <color theme="1"/>
      <name val="ＭＳ ゴシック"/>
      <family val="3"/>
      <charset val="128"/>
    </font>
    <font>
      <sz val="8"/>
      <name val="ＭＳ ゴシック"/>
      <family val="3"/>
      <charset val="128"/>
    </font>
    <font>
      <i/>
      <sz val="12"/>
      <name val="ＭＳ ゴシック"/>
      <family val="3"/>
      <charset val="128"/>
    </font>
    <font>
      <i/>
      <sz val="11"/>
      <name val="ＭＳ ゴシック"/>
      <family val="3"/>
      <charset val="128"/>
    </font>
    <font>
      <i/>
      <sz val="9"/>
      <name val="ＭＳ ゴシック"/>
      <family val="3"/>
      <charset val="128"/>
    </font>
    <font>
      <sz val="12"/>
      <color rgb="FFFF0000"/>
      <name val="ＭＳ ゴシック"/>
      <family val="3"/>
      <charset val="128"/>
    </font>
    <font>
      <sz val="10"/>
      <color theme="4"/>
      <name val="ＭＳ ゴシック"/>
      <family val="3"/>
      <charset val="128"/>
    </font>
    <font>
      <sz val="12"/>
      <color theme="4"/>
      <name val="ＭＳ ゴシック"/>
      <family val="3"/>
      <charset val="128"/>
    </font>
    <font>
      <sz val="12"/>
      <color rgb="FFFF0000"/>
      <name val="ＭＳ Ｐゴシック"/>
      <family val="3"/>
      <charset val="128"/>
    </font>
    <font>
      <sz val="9.5"/>
      <name val="ＭＳ ゴシック"/>
      <family val="3"/>
      <charset val="128"/>
    </font>
    <font>
      <i/>
      <sz val="12"/>
      <color rgb="FFFF0000"/>
      <name val="ＭＳ ゴシック"/>
      <family val="3"/>
      <charset val="128"/>
    </font>
    <font>
      <sz val="9"/>
      <color rgb="FFFF0000"/>
      <name val="ＭＳ ゴシック"/>
      <family val="3"/>
      <charset val="128"/>
    </font>
    <font>
      <b/>
      <sz val="10"/>
      <color rgb="FFFF0000"/>
      <name val="ＭＳ ゴシック"/>
      <family val="3"/>
      <charset val="128"/>
    </font>
    <font>
      <i/>
      <sz val="9"/>
      <color rgb="FFFF0000"/>
      <name val="ＭＳ ゴシック"/>
      <family val="3"/>
      <charset val="128"/>
    </font>
    <font>
      <sz val="7"/>
      <name val="ＭＳ ゴシック"/>
      <family val="3"/>
      <charset val="128"/>
    </font>
    <font>
      <sz val="9"/>
      <color indexed="81"/>
      <name val="MS P ゴシック"/>
      <family val="3"/>
      <charset val="128"/>
    </font>
    <font>
      <sz val="10.5"/>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00B0F0"/>
        <bgColor indexed="64"/>
      </patternFill>
    </fill>
    <fill>
      <patternFill patternType="solid">
        <fgColor rgb="FFFFFF00"/>
        <bgColor indexed="64"/>
      </patternFill>
    </fill>
  </fills>
  <borders count="1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hair">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style="double">
        <color indexed="64"/>
      </right>
      <top style="medium">
        <color indexed="64"/>
      </top>
      <bottom style="medium">
        <color indexed="64"/>
      </bottom>
      <diagonal style="hair">
        <color indexed="64"/>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 diagonalDown="1">
      <left/>
      <right style="thin">
        <color indexed="64"/>
      </right>
      <top style="medium">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bottom style="hair">
        <color indexed="64"/>
      </bottom>
      <diagonal/>
    </border>
    <border diagonalDown="1">
      <left style="double">
        <color indexed="64"/>
      </left>
      <right style="double">
        <color indexed="64"/>
      </right>
      <top style="medium">
        <color indexed="64"/>
      </top>
      <bottom/>
      <diagonal style="hair">
        <color indexed="64"/>
      </diagonal>
    </border>
    <border diagonalDown="1">
      <left style="double">
        <color indexed="64"/>
      </left>
      <right style="double">
        <color indexed="64"/>
      </right>
      <top style="thin">
        <color indexed="64"/>
      </top>
      <bottom style="double">
        <color indexed="64"/>
      </bottom>
      <diagonal style="hair">
        <color indexed="64"/>
      </diagonal>
    </border>
    <border diagonalDown="1">
      <left style="medium">
        <color indexed="64"/>
      </left>
      <right style="double">
        <color indexed="64"/>
      </right>
      <top style="medium">
        <color indexed="64"/>
      </top>
      <bottom/>
      <diagonal style="hair">
        <color indexed="64"/>
      </diagonal>
    </border>
    <border diagonalDown="1">
      <left style="medium">
        <color indexed="64"/>
      </left>
      <right style="double">
        <color indexed="64"/>
      </right>
      <top/>
      <bottom style="double">
        <color indexed="64"/>
      </bottom>
      <diagonal style="hair">
        <color indexed="64"/>
      </diagonal>
    </border>
    <border diagonalDown="1">
      <left style="medium">
        <color indexed="64"/>
      </left>
      <right style="double">
        <color indexed="64"/>
      </right>
      <top style="thin">
        <color indexed="64"/>
      </top>
      <bottom style="double">
        <color indexed="64"/>
      </bottom>
      <diagonal style="hair">
        <color indexed="64"/>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bottom style="hair">
        <color indexed="64"/>
      </bottom>
      <diagonal/>
    </border>
    <border>
      <left/>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hair">
        <color indexed="64"/>
      </left>
      <right style="thin">
        <color indexed="64"/>
      </right>
      <top style="medium">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diagonal/>
    </border>
    <border>
      <left style="medium">
        <color indexed="64"/>
      </left>
      <right style="double">
        <color indexed="64"/>
      </right>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s>
  <cellStyleXfs count="7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9" fontId="51" fillId="0" borderId="0" applyFont="0" applyFill="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36" fillId="0" borderId="0" applyFont="0" applyFill="0" applyBorder="0" applyAlignment="0" applyProtection="0">
      <alignment vertical="center"/>
    </xf>
    <xf numFmtId="38" fontId="5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3" fillId="0" borderId="0">
      <alignment vertical="center"/>
    </xf>
    <xf numFmtId="0" fontId="1" fillId="0" borderId="0">
      <alignment vertical="center"/>
    </xf>
    <xf numFmtId="0" fontId="1" fillId="0" borderId="0"/>
    <xf numFmtId="0" fontId="3" fillId="0" borderId="0">
      <alignment vertical="center"/>
    </xf>
    <xf numFmtId="0" fontId="36" fillId="0" borderId="0">
      <alignment vertical="center"/>
    </xf>
    <xf numFmtId="0" fontId="1" fillId="0" borderId="0"/>
    <xf numFmtId="0" fontId="1" fillId="0" borderId="0">
      <alignment vertical="center"/>
    </xf>
    <xf numFmtId="0" fontId="1" fillId="0" borderId="0">
      <alignment vertical="center"/>
    </xf>
    <xf numFmtId="0" fontId="19" fillId="4" borderId="0" applyNumberFormat="0" applyBorder="0" applyAlignment="0" applyProtection="0">
      <alignment vertical="center"/>
    </xf>
    <xf numFmtId="0" fontId="1" fillId="0" borderId="0"/>
    <xf numFmtId="0" fontId="1"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51" fillId="0" borderId="0">
      <alignment vertical="center"/>
    </xf>
  </cellStyleXfs>
  <cellXfs count="1189">
    <xf numFmtId="0" fontId="0" fillId="0" borderId="0" xfId="0">
      <alignment vertical="center"/>
    </xf>
    <xf numFmtId="187" fontId="30" fillId="0" borderId="0" xfId="0" applyNumberFormat="1" applyFont="1" applyFill="1" applyBorder="1" applyAlignment="1" applyProtection="1">
      <alignment horizontal="right" vertical="center"/>
    </xf>
    <xf numFmtId="0" fontId="38" fillId="24" borderId="0" xfId="54" applyFont="1" applyFill="1" applyAlignment="1" applyProtection="1">
      <alignment vertical="center"/>
      <protection locked="0"/>
    </xf>
    <xf numFmtId="0" fontId="52" fillId="24" borderId="0" xfId="54" applyFont="1" applyFill="1" applyAlignment="1" applyProtection="1">
      <alignment horizontal="right"/>
      <protection locked="0" hidden="1"/>
    </xf>
    <xf numFmtId="0" fontId="39" fillId="24" borderId="0" xfId="54" applyFont="1" applyFill="1" applyAlignment="1" applyProtection="1">
      <alignment horizontal="right" vertical="center"/>
      <protection locked="0"/>
    </xf>
    <xf numFmtId="0" fontId="40" fillId="24" borderId="0" xfId="54" applyFont="1" applyFill="1" applyAlignment="1" applyProtection="1">
      <alignment vertical="center"/>
      <protection locked="0"/>
    </xf>
    <xf numFmtId="0" fontId="41" fillId="24" borderId="0" xfId="54" applyFont="1" applyFill="1" applyAlignment="1" applyProtection="1">
      <alignment horizontal="right"/>
      <protection locked="0"/>
    </xf>
    <xf numFmtId="38" fontId="38" fillId="24" borderId="13" xfId="37" applyFont="1" applyFill="1" applyBorder="1" applyAlignment="1" applyProtection="1">
      <alignment horizontal="centerContinuous" vertical="center"/>
      <protection locked="0"/>
    </xf>
    <xf numFmtId="38" fontId="38" fillId="24" borderId="14" xfId="37" applyFont="1" applyFill="1" applyBorder="1" applyAlignment="1" applyProtection="1">
      <alignment horizontal="centerContinuous" vertical="center"/>
      <protection locked="0"/>
    </xf>
    <xf numFmtId="38" fontId="39" fillId="24" borderId="15" xfId="37" applyFont="1" applyFill="1" applyBorder="1" applyAlignment="1" applyProtection="1">
      <alignment horizontal="center" vertical="center"/>
      <protection locked="0"/>
    </xf>
    <xf numFmtId="38" fontId="38" fillId="25" borderId="16" xfId="37" applyFont="1" applyFill="1" applyBorder="1" applyAlignment="1" applyProtection="1">
      <alignment vertical="center"/>
    </xf>
    <xf numFmtId="38" fontId="38" fillId="25" borderId="17" xfId="37" applyFont="1" applyFill="1" applyBorder="1" applyAlignment="1" applyProtection="1">
      <alignment vertical="center"/>
    </xf>
    <xf numFmtId="38" fontId="38" fillId="26" borderId="17" xfId="37" applyFont="1" applyFill="1" applyBorder="1" applyAlignment="1" applyProtection="1">
      <alignment vertical="center"/>
      <protection locked="0"/>
    </xf>
    <xf numFmtId="38" fontId="38" fillId="25" borderId="17" xfId="37" applyFont="1" applyFill="1" applyBorder="1" applyAlignment="1" applyProtection="1">
      <alignment horizontal="right" vertical="center"/>
    </xf>
    <xf numFmtId="38" fontId="38" fillId="25" borderId="18" xfId="37" applyFont="1" applyFill="1" applyBorder="1" applyAlignment="1" applyProtection="1">
      <alignment vertical="center"/>
    </xf>
    <xf numFmtId="0" fontId="41" fillId="24" borderId="0" xfId="54" applyFont="1" applyFill="1" applyAlignment="1" applyProtection="1">
      <alignment horizontal="right" vertical="top"/>
      <protection locked="0"/>
    </xf>
    <xf numFmtId="186" fontId="39" fillId="24" borderId="0" xfId="37" applyNumberFormat="1" applyFont="1" applyFill="1" applyBorder="1" applyAlignment="1" applyProtection="1">
      <alignment horizontal="right" vertical="top" indent="1"/>
      <protection locked="0"/>
    </xf>
    <xf numFmtId="38" fontId="38" fillId="24" borderId="14" xfId="37" applyFont="1" applyFill="1" applyBorder="1" applyAlignment="1" applyProtection="1">
      <alignment horizontal="center" vertical="center"/>
      <protection locked="0"/>
    </xf>
    <xf numFmtId="38" fontId="38" fillId="24" borderId="19" xfId="37" applyFont="1" applyFill="1" applyBorder="1" applyAlignment="1" applyProtection="1">
      <alignment horizontal="center" vertical="center"/>
      <protection locked="0"/>
    </xf>
    <xf numFmtId="38" fontId="38" fillId="24" borderId="0" xfId="37" applyFont="1" applyFill="1" applyBorder="1" applyAlignment="1" applyProtection="1">
      <alignment horizontal="center" vertical="center"/>
      <protection locked="0"/>
    </xf>
    <xf numFmtId="38" fontId="38" fillId="26" borderId="20" xfId="37" applyFont="1" applyFill="1" applyBorder="1" applyAlignment="1" applyProtection="1">
      <alignment vertical="center"/>
      <protection locked="0"/>
    </xf>
    <xf numFmtId="204" fontId="39" fillId="24" borderId="0" xfId="54" applyNumberFormat="1" applyFont="1" applyFill="1" applyAlignment="1" applyProtection="1">
      <alignment horizontal="left" vertical="center"/>
      <protection locked="0"/>
    </xf>
    <xf numFmtId="205" fontId="39" fillId="24" borderId="0" xfId="54" applyNumberFormat="1" applyFont="1" applyFill="1" applyAlignment="1" applyProtection="1">
      <alignment horizontal="left" vertical="center"/>
      <protection locked="0"/>
    </xf>
    <xf numFmtId="206" fontId="39" fillId="24" borderId="0" xfId="54" applyNumberFormat="1" applyFont="1" applyFill="1" applyAlignment="1" applyProtection="1">
      <alignment horizontal="right" vertical="center" indent="1"/>
      <protection locked="0"/>
    </xf>
    <xf numFmtId="0" fontId="39" fillId="24" borderId="0" xfId="54" applyFont="1" applyFill="1" applyAlignment="1" applyProtection="1">
      <alignment horizontal="left" vertical="center"/>
      <protection locked="0"/>
    </xf>
    <xf numFmtId="0" fontId="31" fillId="0" borderId="0" xfId="0" applyFont="1">
      <alignment vertical="center"/>
    </xf>
    <xf numFmtId="186" fontId="31" fillId="0" borderId="0" xfId="0" applyNumberFormat="1" applyFont="1">
      <alignment vertical="center"/>
    </xf>
    <xf numFmtId="191" fontId="31" fillId="0" borderId="0" xfId="0" applyNumberFormat="1" applyFont="1">
      <alignment vertical="center"/>
    </xf>
    <xf numFmtId="38" fontId="0" fillId="0" borderId="0" xfId="35" applyFont="1">
      <alignment vertical="center"/>
    </xf>
    <xf numFmtId="0" fontId="0" fillId="0" borderId="21" xfId="0" applyBorder="1" applyAlignment="1">
      <alignment horizontal="center" vertical="center"/>
    </xf>
    <xf numFmtId="0" fontId="0" fillId="0" borderId="22" xfId="0" applyBorder="1">
      <alignment vertical="center"/>
    </xf>
    <xf numFmtId="40" fontId="0" fillId="0" borderId="22" xfId="35" applyNumberFormat="1" applyFont="1" applyBorder="1" applyAlignment="1">
      <alignment horizontal="right" vertical="center"/>
    </xf>
    <xf numFmtId="207" fontId="0" fillId="0" borderId="23" xfId="0" applyNumberFormat="1" applyBorder="1">
      <alignment vertical="center"/>
    </xf>
    <xf numFmtId="0" fontId="40" fillId="0" borderId="0" xfId="0" applyFont="1">
      <alignment vertical="center"/>
    </xf>
    <xf numFmtId="38" fontId="0" fillId="0" borderId="0" xfId="0" applyNumberFormat="1">
      <alignment vertical="center"/>
    </xf>
    <xf numFmtId="0" fontId="0" fillId="0" borderId="24" xfId="0" applyBorder="1">
      <alignment vertical="center"/>
    </xf>
    <xf numFmtId="0" fontId="0" fillId="0" borderId="25" xfId="0" applyBorder="1">
      <alignment vertical="center"/>
    </xf>
    <xf numFmtId="38" fontId="0" fillId="0" borderId="25" xfId="35" applyFont="1" applyBorder="1" applyAlignment="1">
      <alignment horizontal="right" vertical="center"/>
    </xf>
    <xf numFmtId="208" fontId="0" fillId="0" borderId="26" xfId="0" applyNumberFormat="1" applyBorder="1">
      <alignment vertical="center"/>
    </xf>
    <xf numFmtId="0" fontId="0" fillId="0" borderId="0" xfId="0" applyAlignment="1">
      <alignment vertical="center" shrinkToFit="1"/>
    </xf>
    <xf numFmtId="0" fontId="22" fillId="0" borderId="0" xfId="0" applyFont="1">
      <alignment vertical="center"/>
    </xf>
    <xf numFmtId="0" fontId="0" fillId="0" borderId="0" xfId="0" applyAlignment="1">
      <alignment horizontal="center" vertical="center"/>
    </xf>
    <xf numFmtId="38" fontId="0" fillId="0" borderId="11" xfId="35" applyFont="1" applyBorder="1">
      <alignment vertical="center"/>
    </xf>
    <xf numFmtId="209" fontId="0" fillId="0" borderId="11" xfId="28" applyNumberFormat="1" applyFont="1" applyBorder="1">
      <alignment vertical="center"/>
    </xf>
    <xf numFmtId="209" fontId="0" fillId="0" borderId="0" xfId="0" applyNumberFormat="1">
      <alignment vertical="center"/>
    </xf>
    <xf numFmtId="38" fontId="1" fillId="27" borderId="0" xfId="35" applyFont="1" applyFill="1">
      <alignment vertical="center"/>
    </xf>
    <xf numFmtId="38" fontId="1" fillId="27" borderId="11" xfId="35" applyFont="1" applyFill="1" applyBorder="1">
      <alignment vertical="center"/>
    </xf>
    <xf numFmtId="0" fontId="25" fillId="0" borderId="0" xfId="0" applyFont="1">
      <alignment vertical="center"/>
    </xf>
    <xf numFmtId="0" fontId="54" fillId="28" borderId="0" xfId="56" applyFont="1" applyFill="1">
      <alignment vertical="center"/>
    </xf>
    <xf numFmtId="0" fontId="55" fillId="28" borderId="0" xfId="56" applyFont="1" applyFill="1">
      <alignment vertical="center"/>
    </xf>
    <xf numFmtId="38" fontId="56" fillId="28" borderId="0" xfId="39" applyFont="1" applyFill="1">
      <alignment vertical="center"/>
    </xf>
    <xf numFmtId="0" fontId="57" fillId="28" borderId="0" xfId="56" applyFont="1" applyFill="1">
      <alignment vertical="center"/>
    </xf>
    <xf numFmtId="38" fontId="57" fillId="28" borderId="0" xfId="39" applyFont="1" applyFill="1">
      <alignment vertical="center"/>
    </xf>
    <xf numFmtId="0" fontId="53" fillId="28" borderId="0" xfId="56" applyFont="1" applyFill="1">
      <alignment vertical="center"/>
    </xf>
    <xf numFmtId="38" fontId="53" fillId="28" borderId="11" xfId="39" applyFont="1" applyFill="1" applyBorder="1" applyAlignment="1">
      <alignment horizontal="center" vertical="center"/>
    </xf>
    <xf numFmtId="0" fontId="53" fillId="28" borderId="11" xfId="56" applyFont="1" applyFill="1" applyBorder="1" applyAlignment="1">
      <alignment horizontal="center" vertical="center"/>
    </xf>
    <xf numFmtId="0" fontId="53" fillId="28" borderId="11" xfId="56" applyFont="1" applyFill="1" applyBorder="1">
      <alignment vertical="center"/>
    </xf>
    <xf numFmtId="38" fontId="53" fillId="28" borderId="11" xfId="39" applyFont="1" applyFill="1" applyBorder="1">
      <alignment vertical="center"/>
    </xf>
    <xf numFmtId="201" fontId="53" fillId="28" borderId="11" xfId="39" applyNumberFormat="1" applyFont="1" applyFill="1" applyBorder="1" applyAlignment="1">
      <alignment vertical="center"/>
    </xf>
    <xf numFmtId="38" fontId="53" fillId="28" borderId="0" xfId="39" applyFont="1" applyFill="1" applyBorder="1">
      <alignment vertical="center"/>
    </xf>
    <xf numFmtId="201" fontId="58" fillId="28" borderId="0" xfId="39" applyNumberFormat="1" applyFont="1" applyFill="1" applyBorder="1" applyAlignment="1">
      <alignment vertical="center"/>
    </xf>
    <xf numFmtId="38" fontId="53" fillId="28" borderId="0" xfId="39" applyFont="1" applyFill="1">
      <alignment vertical="center"/>
    </xf>
    <xf numFmtId="0" fontId="53" fillId="28" borderId="0" xfId="56" applyFont="1" applyFill="1" applyAlignment="1">
      <alignment vertical="center" wrapText="1"/>
    </xf>
    <xf numFmtId="0" fontId="58" fillId="28" borderId="27" xfId="56" applyFont="1" applyFill="1" applyBorder="1" applyAlignment="1">
      <alignment horizontal="center" vertical="center"/>
    </xf>
    <xf numFmtId="0" fontId="58" fillId="28" borderId="11" xfId="56" applyFont="1" applyFill="1" applyBorder="1" applyAlignment="1">
      <alignment horizontal="center" vertical="center"/>
    </xf>
    <xf numFmtId="0" fontId="58" fillId="28" borderId="11" xfId="56" applyFont="1" applyFill="1" applyBorder="1" applyAlignment="1">
      <alignment horizontal="left" vertical="center"/>
    </xf>
    <xf numFmtId="38" fontId="58" fillId="28" borderId="11" xfId="39" applyFont="1" applyFill="1" applyBorder="1" applyAlignment="1">
      <alignment horizontal="right" vertical="center"/>
    </xf>
    <xf numFmtId="0" fontId="58" fillId="28" borderId="11" xfId="56" applyFont="1" applyFill="1" applyBorder="1" applyAlignment="1">
      <alignment horizontal="left" vertical="center" shrinkToFit="1"/>
    </xf>
    <xf numFmtId="38" fontId="58" fillId="28" borderId="11" xfId="39" applyFont="1" applyFill="1" applyBorder="1">
      <alignment vertical="center"/>
    </xf>
    <xf numFmtId="38" fontId="55" fillId="28" borderId="11" xfId="39" applyFont="1" applyFill="1" applyBorder="1" applyAlignment="1">
      <alignment horizontal="center" vertical="center"/>
    </xf>
    <xf numFmtId="38" fontId="56" fillId="28" borderId="11" xfId="39" applyFont="1" applyFill="1" applyBorder="1">
      <alignment vertical="center"/>
    </xf>
    <xf numFmtId="0" fontId="53" fillId="28" borderId="11" xfId="56" applyFont="1" applyFill="1" applyBorder="1" applyAlignment="1">
      <alignment vertical="center" shrinkToFit="1"/>
    </xf>
    <xf numFmtId="0" fontId="55" fillId="28" borderId="0" xfId="56" applyFont="1" applyFill="1" applyAlignment="1">
      <alignment vertical="center" wrapText="1"/>
    </xf>
    <xf numFmtId="0" fontId="55" fillId="28" borderId="0" xfId="56" applyFont="1" applyFill="1" applyBorder="1" applyAlignment="1">
      <alignment vertical="center" wrapText="1"/>
    </xf>
    <xf numFmtId="0" fontId="55" fillId="28" borderId="28" xfId="56" applyFont="1" applyFill="1" applyBorder="1">
      <alignment vertical="center"/>
    </xf>
    <xf numFmtId="0" fontId="55" fillId="28" borderId="29" xfId="56" applyFont="1" applyFill="1" applyBorder="1">
      <alignment vertical="center"/>
    </xf>
    <xf numFmtId="38" fontId="56" fillId="28" borderId="29" xfId="39" applyFont="1" applyFill="1" applyBorder="1">
      <alignment vertical="center"/>
    </xf>
    <xf numFmtId="0" fontId="55" fillId="28" borderId="30" xfId="56" applyFont="1" applyFill="1" applyBorder="1">
      <alignment vertical="center"/>
    </xf>
    <xf numFmtId="0" fontId="53" fillId="28" borderId="31" xfId="56" applyFont="1" applyFill="1" applyBorder="1">
      <alignment vertical="center"/>
    </xf>
    <xf numFmtId="0" fontId="53" fillId="28" borderId="0" xfId="56" applyFont="1" applyFill="1" applyBorder="1">
      <alignment vertical="center"/>
    </xf>
    <xf numFmtId="0" fontId="53" fillId="28" borderId="32" xfId="56" applyFont="1" applyFill="1" applyBorder="1">
      <alignment vertical="center"/>
    </xf>
    <xf numFmtId="0" fontId="55" fillId="28" borderId="33" xfId="56" applyFont="1" applyFill="1" applyBorder="1">
      <alignment vertical="center"/>
    </xf>
    <xf numFmtId="0" fontId="55" fillId="28" borderId="34" xfId="56" applyFont="1" applyFill="1" applyBorder="1">
      <alignment vertical="center"/>
    </xf>
    <xf numFmtId="38" fontId="56" fillId="28" borderId="34" xfId="39" applyFont="1" applyFill="1" applyBorder="1">
      <alignment vertical="center"/>
    </xf>
    <xf numFmtId="0" fontId="55" fillId="28" borderId="35" xfId="56" applyFont="1" applyFill="1" applyBorder="1">
      <alignment vertical="center"/>
    </xf>
    <xf numFmtId="181" fontId="26" fillId="0" borderId="36" xfId="0" applyNumberFormat="1" applyFont="1" applyFill="1" applyBorder="1" applyAlignment="1" applyProtection="1">
      <alignment horizontal="right" vertical="center"/>
    </xf>
    <xf numFmtId="181" fontId="26" fillId="0" borderId="37" xfId="0" applyNumberFormat="1" applyFont="1" applyFill="1" applyBorder="1" applyAlignment="1" applyProtection="1">
      <alignment horizontal="right" vertical="center"/>
    </xf>
    <xf numFmtId="0" fontId="59" fillId="0" borderId="0" xfId="56" applyFont="1">
      <alignment vertical="center"/>
    </xf>
    <xf numFmtId="0" fontId="59" fillId="0" borderId="0" xfId="56" applyFont="1" applyFill="1" applyBorder="1">
      <alignment vertical="center"/>
    </xf>
    <xf numFmtId="187" fontId="59" fillId="0" borderId="0" xfId="56" applyNumberFormat="1" applyFont="1" applyFill="1" applyBorder="1" applyAlignment="1">
      <alignment vertical="center"/>
    </xf>
    <xf numFmtId="0" fontId="59" fillId="0" borderId="0" xfId="56" applyFont="1" applyFill="1" applyBorder="1" applyAlignment="1">
      <alignment vertical="center"/>
    </xf>
    <xf numFmtId="203" fontId="59" fillId="0" borderId="0" xfId="56" applyNumberFormat="1" applyFont="1" applyFill="1" applyBorder="1" applyAlignment="1">
      <alignment vertical="center"/>
    </xf>
    <xf numFmtId="0" fontId="59" fillId="0" borderId="0" xfId="56" applyFont="1" applyAlignment="1">
      <alignment horizontal="right" vertical="center"/>
    </xf>
    <xf numFmtId="0" fontId="60" fillId="0" borderId="0" xfId="56" applyFont="1">
      <alignment vertical="center"/>
    </xf>
    <xf numFmtId="0" fontId="59" fillId="0" borderId="0" xfId="56" applyFont="1" applyAlignment="1">
      <alignment horizontal="center" vertical="center"/>
    </xf>
    <xf numFmtId="180" fontId="32" fillId="0" borderId="98" xfId="0" applyNumberFormat="1" applyFont="1" applyFill="1" applyBorder="1" applyAlignment="1" applyProtection="1">
      <alignment horizontal="center" vertical="center" wrapText="1"/>
      <protection locked="0"/>
    </xf>
    <xf numFmtId="180" fontId="32" fillId="0" borderId="0" xfId="0" applyNumberFormat="1" applyFont="1" applyFill="1" applyBorder="1" applyAlignment="1" applyProtection="1">
      <alignment horizontal="center" vertical="center" wrapText="1"/>
      <protection locked="0"/>
    </xf>
    <xf numFmtId="180" fontId="32" fillId="0" borderId="40" xfId="0" applyNumberFormat="1" applyFont="1" applyFill="1" applyBorder="1" applyAlignment="1" applyProtection="1">
      <alignment horizontal="right" vertical="center"/>
      <protection locked="0"/>
    </xf>
    <xf numFmtId="180" fontId="32" fillId="0" borderId="0" xfId="0" applyNumberFormat="1" applyFont="1" applyFill="1" applyBorder="1" applyAlignment="1" applyProtection="1">
      <alignment horizontal="right" vertical="center"/>
      <protection locked="0"/>
    </xf>
    <xf numFmtId="180" fontId="32" fillId="0" borderId="37" xfId="0" applyNumberFormat="1" applyFont="1" applyFill="1" applyBorder="1" applyAlignment="1" applyProtection="1">
      <alignment horizontal="right" vertical="center"/>
      <protection locked="0"/>
    </xf>
    <xf numFmtId="180" fontId="32" fillId="0" borderId="41" xfId="0" applyNumberFormat="1" applyFont="1" applyFill="1" applyBorder="1" applyAlignment="1" applyProtection="1">
      <alignment horizontal="right" vertical="center"/>
      <protection locked="0"/>
    </xf>
    <xf numFmtId="0" fontId="32" fillId="0" borderId="0" xfId="0" applyFont="1" applyFill="1" applyBorder="1" applyAlignment="1" applyProtection="1">
      <alignment vertical="center"/>
      <protection locked="0"/>
    </xf>
    <xf numFmtId="0" fontId="32" fillId="0" borderId="99" xfId="0" applyFont="1" applyFill="1" applyBorder="1" applyAlignment="1" applyProtection="1">
      <alignment horizontal="center" vertical="center"/>
      <protection locked="0"/>
    </xf>
    <xf numFmtId="180" fontId="32" fillId="0" borderId="40" xfId="0" applyNumberFormat="1" applyFont="1" applyFill="1" applyBorder="1" applyProtection="1">
      <alignment vertical="center"/>
      <protection locked="0"/>
    </xf>
    <xf numFmtId="180" fontId="32" fillId="0" borderId="37" xfId="0" applyNumberFormat="1" applyFont="1" applyFill="1" applyBorder="1" applyProtection="1">
      <alignment vertical="center"/>
      <protection locked="0"/>
    </xf>
    <xf numFmtId="180" fontId="32" fillId="0" borderId="41" xfId="0" applyNumberFormat="1" applyFont="1" applyFill="1" applyBorder="1" applyProtection="1">
      <alignment vertical="center"/>
      <protection locked="0"/>
    </xf>
    <xf numFmtId="10" fontId="32" fillId="0" borderId="0" xfId="28" applyNumberFormat="1" applyFont="1" applyFill="1" applyBorder="1" applyAlignment="1" applyProtection="1">
      <alignment horizontal="right" vertical="center"/>
      <protection locked="0"/>
    </xf>
    <xf numFmtId="180" fontId="32" fillId="0" borderId="100" xfId="0" applyNumberFormat="1" applyFont="1" applyFill="1" applyBorder="1" applyAlignment="1" applyProtection="1">
      <alignment horizontal="distributed" vertical="center" wrapText="1"/>
      <protection locked="0"/>
    </xf>
    <xf numFmtId="180" fontId="27" fillId="0" borderId="98" xfId="0" applyNumberFormat="1" applyFont="1" applyFill="1" applyBorder="1" applyAlignment="1" applyProtection="1">
      <alignment horizontal="center" vertical="center"/>
      <protection locked="0"/>
    </xf>
    <xf numFmtId="180" fontId="27" fillId="0" borderId="0" xfId="0" applyNumberFormat="1" applyFont="1" applyFill="1" applyBorder="1" applyAlignment="1" applyProtection="1">
      <alignment horizontal="center" vertical="center"/>
      <protection locked="0"/>
    </xf>
    <xf numFmtId="176" fontId="23" fillId="0" borderId="0" xfId="0" applyNumberFormat="1" applyFont="1" applyFill="1">
      <alignment vertical="center"/>
    </xf>
    <xf numFmtId="0" fontId="32" fillId="0" borderId="0" xfId="0" applyFont="1" applyFill="1" applyAlignment="1">
      <alignment vertical="center"/>
    </xf>
    <xf numFmtId="0" fontId="27" fillId="0" borderId="0" xfId="0" applyFont="1" applyFill="1" applyAlignment="1">
      <alignment horizontal="distributed" vertical="center" justifyLastLine="1"/>
    </xf>
    <xf numFmtId="178" fontId="27" fillId="0" borderId="0" xfId="0" applyNumberFormat="1" applyFont="1" applyFill="1">
      <alignment vertical="center"/>
    </xf>
    <xf numFmtId="176" fontId="27" fillId="0" borderId="0" xfId="0" applyNumberFormat="1" applyFont="1" applyFill="1">
      <alignment vertical="center"/>
    </xf>
    <xf numFmtId="0" fontId="27" fillId="0" borderId="0" xfId="0" applyFont="1" applyFill="1">
      <alignment vertical="center"/>
    </xf>
    <xf numFmtId="176" fontId="27" fillId="0" borderId="0" xfId="0" applyNumberFormat="1" applyFont="1" applyFill="1" applyBorder="1">
      <alignment vertical="center"/>
    </xf>
    <xf numFmtId="176" fontId="27" fillId="0" borderId="0" xfId="0" applyNumberFormat="1" applyFont="1" applyFill="1" applyBorder="1" applyAlignment="1">
      <alignment horizontal="center" vertical="center"/>
    </xf>
    <xf numFmtId="0" fontId="27" fillId="0" borderId="0" xfId="0" applyFont="1" applyFill="1" applyAlignment="1">
      <alignment horizontal="center" vertical="center"/>
    </xf>
    <xf numFmtId="0" fontId="26" fillId="0" borderId="0" xfId="0" applyFont="1" applyFill="1" applyBorder="1" applyAlignment="1">
      <alignment horizontal="distributed" vertical="center" shrinkToFit="1"/>
    </xf>
    <xf numFmtId="193" fontId="26" fillId="0" borderId="0" xfId="0" applyNumberFormat="1" applyFont="1" applyFill="1" applyBorder="1">
      <alignment vertical="center"/>
    </xf>
    <xf numFmtId="188" fontId="32" fillId="0" borderId="25" xfId="0" applyNumberFormat="1" applyFont="1" applyFill="1" applyBorder="1" applyAlignment="1">
      <alignment horizontal="center" vertical="center"/>
    </xf>
    <xf numFmtId="176" fontId="32" fillId="0" borderId="0" xfId="0" applyNumberFormat="1" applyFont="1" applyFill="1" applyBorder="1" applyAlignment="1">
      <alignment horizontal="center" vertical="center"/>
    </xf>
    <xf numFmtId="0" fontId="32" fillId="0" borderId="0" xfId="0" applyFont="1" applyFill="1" applyBorder="1" applyAlignment="1" applyProtection="1">
      <alignment horizontal="center" vertical="center" wrapText="1"/>
      <protection locked="0"/>
    </xf>
    <xf numFmtId="180" fontId="32" fillId="0" borderId="45" xfId="0" applyNumberFormat="1" applyFont="1" applyFill="1" applyBorder="1" applyAlignment="1" applyProtection="1">
      <alignment horizontal="center" vertical="center"/>
      <protection locked="0"/>
    </xf>
    <xf numFmtId="176" fontId="32" fillId="0" borderId="81" xfId="0" applyNumberFormat="1" applyFont="1" applyFill="1" applyBorder="1" applyAlignment="1" applyProtection="1">
      <alignment horizontal="right" vertical="center"/>
      <protection locked="0"/>
    </xf>
    <xf numFmtId="176" fontId="32" fillId="0" borderId="50" xfId="0" applyNumberFormat="1" applyFont="1" applyFill="1" applyBorder="1" applyAlignment="1" applyProtection="1">
      <alignment horizontal="right" vertical="center"/>
      <protection locked="0"/>
    </xf>
    <xf numFmtId="176" fontId="32" fillId="0" borderId="53" xfId="0" applyNumberFormat="1" applyFont="1" applyFill="1" applyBorder="1" applyAlignment="1" applyProtection="1">
      <alignment horizontal="right" vertical="center"/>
      <protection locked="0"/>
    </xf>
    <xf numFmtId="180" fontId="32" fillId="0" borderId="0" xfId="0" applyNumberFormat="1" applyFont="1" applyFill="1" applyBorder="1" applyProtection="1">
      <alignment vertical="center"/>
      <protection locked="0"/>
    </xf>
    <xf numFmtId="0" fontId="61" fillId="0" borderId="0" xfId="0" applyFont="1" applyFill="1" applyAlignment="1">
      <alignment vertical="center"/>
    </xf>
    <xf numFmtId="0" fontId="61" fillId="0" borderId="0" xfId="0" applyFont="1" applyFill="1" applyAlignment="1">
      <alignment horizontal="distributed" vertical="center" justifyLastLine="1"/>
    </xf>
    <xf numFmtId="178" fontId="61" fillId="0" borderId="0" xfId="0" applyNumberFormat="1" applyFont="1" applyFill="1">
      <alignment vertical="center"/>
    </xf>
    <xf numFmtId="176" fontId="61" fillId="0" borderId="0" xfId="0" applyNumberFormat="1" applyFont="1" applyFill="1">
      <alignment vertical="center"/>
    </xf>
    <xf numFmtId="0" fontId="61" fillId="0" borderId="0" xfId="0" applyFont="1" applyFill="1">
      <alignment vertical="center"/>
    </xf>
    <xf numFmtId="0" fontId="27" fillId="0" borderId="0" xfId="0" applyFont="1" applyFill="1" applyAlignment="1">
      <alignment vertical="center"/>
    </xf>
    <xf numFmtId="0" fontId="28" fillId="0" borderId="0" xfId="0" applyFont="1" applyFill="1">
      <alignment vertical="center"/>
    </xf>
    <xf numFmtId="38" fontId="27" fillId="0" borderId="50" xfId="35" applyFont="1" applyFill="1" applyBorder="1">
      <alignment vertical="center"/>
    </xf>
    <xf numFmtId="179" fontId="28" fillId="0" borderId="37" xfId="0" applyNumberFormat="1" applyFont="1" applyFill="1" applyBorder="1">
      <alignment vertical="center"/>
    </xf>
    <xf numFmtId="176" fontId="27" fillId="0" borderId="94" xfId="0" applyNumberFormat="1" applyFont="1" applyFill="1" applyBorder="1">
      <alignment vertical="center"/>
    </xf>
    <xf numFmtId="38" fontId="27" fillId="0" borderId="81" xfId="35" applyFont="1" applyFill="1" applyBorder="1">
      <alignment vertical="center"/>
    </xf>
    <xf numFmtId="179" fontId="28" fillId="0" borderId="36" xfId="0" applyNumberFormat="1" applyFont="1" applyFill="1" applyBorder="1">
      <alignment vertical="center"/>
    </xf>
    <xf numFmtId="0" fontId="27" fillId="0" borderId="117" xfId="0" applyFont="1" applyFill="1" applyBorder="1" applyAlignment="1">
      <alignment horizontal="distributed" vertical="center" justifyLastLine="1"/>
    </xf>
    <xf numFmtId="176" fontId="27" fillId="0" borderId="63" xfId="0" applyNumberFormat="1" applyFont="1" applyFill="1" applyBorder="1">
      <alignment vertical="center"/>
    </xf>
    <xf numFmtId="0" fontId="0" fillId="0" borderId="0" xfId="0" applyFont="1" applyFill="1">
      <alignment vertical="center"/>
    </xf>
    <xf numFmtId="0" fontId="43" fillId="0" borderId="0" xfId="0" applyFont="1" applyFill="1" applyAlignment="1">
      <alignment vertical="center"/>
    </xf>
    <xf numFmtId="179" fontId="0" fillId="0" borderId="0" xfId="0" applyNumberFormat="1" applyFont="1" applyFill="1">
      <alignment vertical="center"/>
    </xf>
    <xf numFmtId="0" fontId="44" fillId="0" borderId="0" xfId="0" applyFont="1" applyFill="1" applyAlignment="1">
      <alignment horizontal="distributed" vertical="center"/>
    </xf>
    <xf numFmtId="0" fontId="44" fillId="0" borderId="0" xfId="0" applyFont="1" applyFill="1">
      <alignment vertical="center"/>
    </xf>
    <xf numFmtId="0" fontId="44" fillId="0" borderId="0" xfId="0" applyFont="1" applyFill="1" applyAlignment="1">
      <alignment vertical="center"/>
    </xf>
    <xf numFmtId="0" fontId="22" fillId="0" borderId="0" xfId="0" applyFont="1" applyFill="1" applyAlignment="1">
      <alignment vertical="center"/>
    </xf>
    <xf numFmtId="176" fontId="22" fillId="0" borderId="0" xfId="0" applyNumberFormat="1" applyFont="1" applyFill="1">
      <alignment vertical="center"/>
    </xf>
    <xf numFmtId="185" fontId="45" fillId="0" borderId="73" xfId="0" applyNumberFormat="1" applyFont="1" applyFill="1" applyBorder="1" applyAlignment="1">
      <alignment horizontal="center" vertical="center"/>
    </xf>
    <xf numFmtId="195" fontId="0" fillId="0" borderId="74" xfId="0" applyNumberFormat="1" applyFont="1" applyFill="1" applyBorder="1" applyAlignment="1">
      <alignment horizontal="center" vertical="center"/>
    </xf>
    <xf numFmtId="176" fontId="0" fillId="0" borderId="0" xfId="0" applyNumberFormat="1" applyFont="1" applyFill="1" applyBorder="1" applyAlignment="1">
      <alignment horizontal="distributed" vertical="center" justifyLastLine="1"/>
    </xf>
    <xf numFmtId="176" fontId="0" fillId="0" borderId="0" xfId="0" applyNumberFormat="1" applyFont="1" applyFill="1">
      <alignment vertical="center"/>
    </xf>
    <xf numFmtId="179" fontId="0" fillId="0" borderId="0" xfId="0" applyNumberFormat="1" applyFont="1" applyFill="1" applyAlignment="1">
      <alignment horizontal="center" vertical="center"/>
    </xf>
    <xf numFmtId="179" fontId="45" fillId="0" borderId="73" xfId="0" applyNumberFormat="1" applyFont="1" applyFill="1" applyBorder="1" applyAlignment="1">
      <alignment horizontal="center" vertical="center"/>
    </xf>
    <xf numFmtId="38" fontId="0" fillId="0" borderId="0" xfId="0" applyNumberFormat="1" applyFont="1" applyFill="1">
      <alignment vertical="center"/>
    </xf>
    <xf numFmtId="212" fontId="0" fillId="0" borderId="0" xfId="28" applyNumberFormat="1" applyFont="1" applyFill="1">
      <alignment vertical="center"/>
    </xf>
    <xf numFmtId="212" fontId="0" fillId="0" borderId="0" xfId="0" applyNumberFormat="1" applyFont="1" applyFill="1">
      <alignment vertical="center"/>
    </xf>
    <xf numFmtId="176" fontId="0" fillId="0" borderId="11" xfId="0" applyNumberFormat="1" applyFont="1" applyFill="1" applyBorder="1">
      <alignment vertical="center"/>
    </xf>
    <xf numFmtId="38" fontId="0" fillId="0" borderId="11" xfId="0" applyNumberFormat="1" applyFont="1" applyFill="1" applyBorder="1">
      <alignment vertical="center"/>
    </xf>
    <xf numFmtId="199" fontId="0" fillId="0" borderId="11" xfId="0" applyNumberFormat="1" applyFont="1" applyFill="1" applyBorder="1">
      <alignment vertical="center"/>
    </xf>
    <xf numFmtId="209" fontId="0" fillId="0" borderId="0" xfId="28" applyNumberFormat="1" applyFont="1" applyFill="1">
      <alignment vertical="center"/>
    </xf>
    <xf numFmtId="0" fontId="0" fillId="0" borderId="0" xfId="0" applyFont="1" applyFill="1" applyAlignment="1">
      <alignment horizontal="center" vertical="center"/>
    </xf>
    <xf numFmtId="38" fontId="0" fillId="0" borderId="0" xfId="35" applyFont="1" applyFill="1" applyAlignment="1">
      <alignment horizontal="center" vertical="center"/>
    </xf>
    <xf numFmtId="38" fontId="0" fillId="0" borderId="0" xfId="35" applyFont="1" applyFill="1">
      <alignment vertical="center"/>
    </xf>
    <xf numFmtId="191" fontId="0" fillId="0" borderId="0" xfId="0" applyNumberFormat="1" applyFont="1" applyFill="1" applyAlignment="1">
      <alignment horizontal="center" vertical="center"/>
    </xf>
    <xf numFmtId="178" fontId="45" fillId="0" borderId="73" xfId="0" applyNumberFormat="1" applyFont="1" applyFill="1" applyBorder="1" applyAlignment="1">
      <alignment horizontal="center" vertical="center"/>
    </xf>
    <xf numFmtId="194" fontId="0" fillId="0" borderId="74" xfId="0" applyNumberFormat="1" applyFont="1" applyFill="1" applyBorder="1" applyAlignment="1">
      <alignment horizontal="center" vertical="center"/>
    </xf>
    <xf numFmtId="176" fontId="26" fillId="0" borderId="0" xfId="0" applyNumberFormat="1" applyFont="1" applyFill="1">
      <alignment vertical="center"/>
    </xf>
    <xf numFmtId="0" fontId="28" fillId="0" borderId="66" xfId="0" applyFont="1" applyFill="1" applyBorder="1" applyAlignment="1">
      <alignment horizontal="center" vertical="center" shrinkToFit="1"/>
    </xf>
    <xf numFmtId="193" fontId="28" fillId="0" borderId="65" xfId="0" applyNumberFormat="1" applyFont="1" applyFill="1" applyBorder="1">
      <alignment vertical="center"/>
    </xf>
    <xf numFmtId="176" fontId="27" fillId="0" borderId="25" xfId="0" applyNumberFormat="1" applyFont="1" applyFill="1" applyBorder="1">
      <alignment vertical="center"/>
    </xf>
    <xf numFmtId="176" fontId="28" fillId="0" borderId="0" xfId="0" applyNumberFormat="1" applyFont="1" applyFill="1">
      <alignment vertical="center"/>
    </xf>
    <xf numFmtId="179" fontId="28" fillId="0" borderId="0" xfId="0" applyNumberFormat="1" applyFont="1" applyFill="1" applyAlignment="1">
      <alignment horizontal="center" vertical="center"/>
    </xf>
    <xf numFmtId="176" fontId="62" fillId="0" borderId="0" xfId="0" applyNumberFormat="1" applyFont="1" applyFill="1">
      <alignment vertical="center"/>
    </xf>
    <xf numFmtId="0" fontId="63" fillId="0" borderId="66" xfId="0" applyFont="1" applyFill="1" applyBorder="1" applyAlignment="1">
      <alignment horizontal="center" vertical="center" shrinkToFit="1"/>
    </xf>
    <xf numFmtId="0" fontId="63" fillId="0" borderId="66" xfId="0" applyFont="1" applyFill="1" applyBorder="1" applyAlignment="1">
      <alignment horizontal="distributed" vertical="center" shrinkToFit="1"/>
    </xf>
    <xf numFmtId="0" fontId="63" fillId="0" borderId="0" xfId="0" applyFont="1" applyFill="1" applyBorder="1" applyAlignment="1">
      <alignment horizontal="distributed" vertical="center" shrinkToFit="1"/>
    </xf>
    <xf numFmtId="193" fontId="63" fillId="0" borderId="65" xfId="0" applyNumberFormat="1" applyFont="1" applyFill="1" applyBorder="1">
      <alignment vertical="center"/>
    </xf>
    <xf numFmtId="193" fontId="63" fillId="0" borderId="0" xfId="0" applyNumberFormat="1" applyFont="1" applyFill="1" applyBorder="1">
      <alignment vertical="center"/>
    </xf>
    <xf numFmtId="0" fontId="61" fillId="0" borderId="0" xfId="0" applyFont="1" applyFill="1" applyBorder="1">
      <alignment vertical="center"/>
    </xf>
    <xf numFmtId="176" fontId="61" fillId="0" borderId="25" xfId="0" applyNumberFormat="1" applyFont="1" applyFill="1" applyBorder="1">
      <alignment vertical="center"/>
    </xf>
    <xf numFmtId="176" fontId="63" fillId="0" borderId="0" xfId="0" applyNumberFormat="1" applyFont="1" applyFill="1">
      <alignment vertical="center"/>
    </xf>
    <xf numFmtId="182" fontId="23" fillId="0" borderId="74" xfId="0" applyNumberFormat="1" applyFont="1" applyFill="1" applyBorder="1" applyAlignment="1">
      <alignment horizontal="center" vertical="center"/>
    </xf>
    <xf numFmtId="0" fontId="28" fillId="0" borderId="0" xfId="0" applyFont="1" applyFill="1" applyAlignment="1">
      <alignment vertical="center"/>
    </xf>
    <xf numFmtId="176" fontId="27" fillId="0" borderId="11" xfId="0" applyNumberFormat="1" applyFont="1" applyFill="1" applyBorder="1" applyAlignment="1">
      <alignment horizontal="distributed" vertical="center" wrapText="1"/>
    </xf>
    <xf numFmtId="176" fontId="27" fillId="0" borderId="11" xfId="0" applyNumberFormat="1" applyFont="1" applyFill="1" applyBorder="1" applyAlignment="1">
      <alignment vertical="center"/>
    </xf>
    <xf numFmtId="0" fontId="28" fillId="0" borderId="0" xfId="0" applyFont="1" applyFill="1" applyAlignment="1">
      <alignment horizontal="center" vertical="center"/>
    </xf>
    <xf numFmtId="38" fontId="28" fillId="0" borderId="41" xfId="35" applyFont="1" applyFill="1" applyBorder="1">
      <alignment vertical="center"/>
    </xf>
    <xf numFmtId="176" fontId="28" fillId="0" borderId="41" xfId="0" applyNumberFormat="1" applyFont="1" applyFill="1" applyBorder="1">
      <alignment vertical="center"/>
    </xf>
    <xf numFmtId="0" fontId="59" fillId="0" borderId="11" xfId="56" applyFont="1" applyFill="1" applyBorder="1">
      <alignment vertical="center"/>
    </xf>
    <xf numFmtId="0" fontId="59" fillId="0" borderId="11" xfId="56" applyFont="1" applyFill="1" applyBorder="1" applyAlignment="1">
      <alignment horizontal="center" vertical="center"/>
    </xf>
    <xf numFmtId="187" fontId="59" fillId="0" borderId="11" xfId="56" applyNumberFormat="1" applyFont="1" applyFill="1" applyBorder="1" applyAlignment="1">
      <alignment vertical="center"/>
    </xf>
    <xf numFmtId="177" fontId="59" fillId="0" borderId="11" xfId="56" applyNumberFormat="1" applyFont="1" applyFill="1" applyBorder="1" applyAlignment="1">
      <alignment vertical="center"/>
    </xf>
    <xf numFmtId="38" fontId="59" fillId="0" borderId="11" xfId="35" applyFont="1" applyFill="1" applyBorder="1" applyAlignment="1">
      <alignment vertical="center"/>
    </xf>
    <xf numFmtId="176" fontId="59" fillId="0" borderId="11" xfId="35" applyNumberFormat="1" applyFont="1" applyFill="1" applyBorder="1" applyAlignment="1">
      <alignment vertical="center"/>
    </xf>
    <xf numFmtId="0" fontId="59" fillId="0" borderId="11" xfId="56" applyFont="1" applyBorder="1" applyAlignment="1">
      <alignment horizontal="left" vertical="center" indent="1"/>
    </xf>
    <xf numFmtId="38" fontId="59" fillId="0" borderId="11" xfId="39" applyFont="1" applyFill="1" applyBorder="1">
      <alignment vertical="center"/>
    </xf>
    <xf numFmtId="38" fontId="59" fillId="0" borderId="11" xfId="39" applyFont="1" applyFill="1" applyBorder="1" applyAlignment="1">
      <alignment horizontal="right" vertical="center"/>
    </xf>
    <xf numFmtId="211" fontId="59" fillId="0" borderId="0" xfId="56" applyNumberFormat="1" applyFont="1" applyFill="1" applyBorder="1" applyAlignment="1">
      <alignment vertical="center"/>
    </xf>
    <xf numFmtId="38" fontId="59" fillId="0" borderId="11" xfId="39" applyFont="1" applyBorder="1">
      <alignment vertical="center"/>
    </xf>
    <xf numFmtId="0" fontId="59" fillId="0" borderId="0" xfId="56" applyFont="1" applyFill="1">
      <alignment vertical="center"/>
    </xf>
    <xf numFmtId="0" fontId="59" fillId="0" borderId="0" xfId="56" applyFont="1" applyFill="1" applyAlignment="1">
      <alignment horizontal="right" vertical="center"/>
    </xf>
    <xf numFmtId="0" fontId="65" fillId="0" borderId="11" xfId="56" applyFont="1" applyFill="1" applyBorder="1" applyAlignment="1">
      <alignment vertical="center" wrapText="1" shrinkToFit="1"/>
    </xf>
    <xf numFmtId="0" fontId="59" fillId="0" borderId="11" xfId="56" applyFont="1" applyBorder="1" applyAlignment="1">
      <alignment horizontal="left" vertical="center"/>
    </xf>
    <xf numFmtId="201" fontId="59" fillId="0" borderId="11" xfId="39" applyNumberFormat="1" applyFont="1" applyBorder="1" applyAlignment="1">
      <alignment vertical="center"/>
    </xf>
    <xf numFmtId="182" fontId="59" fillId="0" borderId="11" xfId="35" applyNumberFormat="1" applyFont="1" applyFill="1" applyBorder="1" applyAlignment="1">
      <alignment vertical="center"/>
    </xf>
    <xf numFmtId="38" fontId="59" fillId="0" borderId="11" xfId="39" applyFont="1" applyBorder="1" applyAlignment="1">
      <alignment horizontal="right" vertical="center"/>
    </xf>
    <xf numFmtId="0" fontId="59" fillId="0" borderId="11" xfId="56" applyFont="1" applyBorder="1" applyAlignment="1">
      <alignment horizontal="center" vertical="center"/>
    </xf>
    <xf numFmtId="38" fontId="59" fillId="0" borderId="11" xfId="56" applyNumberFormat="1" applyFont="1" applyBorder="1">
      <alignment vertical="center"/>
    </xf>
    <xf numFmtId="0" fontId="59" fillId="0" borderId="11" xfId="56" applyFont="1" applyFill="1" applyBorder="1" applyAlignment="1">
      <alignment horizontal="left" vertical="center"/>
    </xf>
    <xf numFmtId="0" fontId="59" fillId="0" borderId="11" xfId="56" applyFont="1" applyFill="1" applyBorder="1" applyAlignment="1">
      <alignment horizontal="left" vertical="center" indent="1"/>
    </xf>
    <xf numFmtId="0" fontId="59" fillId="0" borderId="0" xfId="56" applyFont="1" applyFill="1" applyAlignment="1">
      <alignment horizontal="left" vertical="center"/>
    </xf>
    <xf numFmtId="201" fontId="59" fillId="0" borderId="11" xfId="39" applyNumberFormat="1" applyFont="1" applyFill="1" applyBorder="1" applyAlignment="1">
      <alignment vertical="center"/>
    </xf>
    <xf numFmtId="178" fontId="59" fillId="0" borderId="11" xfId="56" applyNumberFormat="1" applyFont="1" applyFill="1" applyBorder="1" applyAlignment="1">
      <alignment vertical="center"/>
    </xf>
    <xf numFmtId="210" fontId="59" fillId="0" borderId="11" xfId="56" applyNumberFormat="1" applyFont="1" applyFill="1" applyBorder="1" applyAlignment="1">
      <alignment vertical="center"/>
    </xf>
    <xf numFmtId="178" fontId="59" fillId="0" borderId="11" xfId="56" applyNumberFormat="1" applyFont="1" applyFill="1" applyBorder="1" applyAlignment="1">
      <alignment horizontal="right" vertical="center" indent="1"/>
    </xf>
    <xf numFmtId="210" fontId="59" fillId="0" borderId="11" xfId="56" applyNumberFormat="1" applyFont="1" applyFill="1" applyBorder="1" applyAlignment="1">
      <alignment horizontal="right" vertical="center" indent="1"/>
    </xf>
    <xf numFmtId="0" fontId="29" fillId="0" borderId="0" xfId="56" applyFont="1">
      <alignment vertical="center"/>
    </xf>
    <xf numFmtId="0" fontId="0" fillId="0" borderId="0" xfId="0" applyFont="1" applyFill="1" applyAlignment="1">
      <alignment horizontal="center" vertical="center" shrinkToFit="1"/>
    </xf>
    <xf numFmtId="0" fontId="0" fillId="0" borderId="0" xfId="0" applyFont="1" applyFill="1" applyBorder="1" applyAlignment="1">
      <alignment horizontal="distributed" vertical="center" justifyLastLine="1"/>
    </xf>
    <xf numFmtId="176" fontId="0" fillId="0" borderId="0" xfId="0" applyNumberFormat="1" applyFont="1" applyFill="1" applyAlignment="1">
      <alignment horizontal="center" vertical="center"/>
    </xf>
    <xf numFmtId="189" fontId="0" fillId="0" borderId="0" xfId="0" applyNumberFormat="1" applyFont="1" applyFill="1" applyAlignment="1">
      <alignment horizontal="center" vertical="center"/>
    </xf>
    <xf numFmtId="0" fontId="0" fillId="0" borderId="0" xfId="0" applyFont="1" applyFill="1" applyAlignment="1">
      <alignment vertical="center"/>
    </xf>
    <xf numFmtId="0" fontId="27" fillId="0" borderId="0" xfId="0" applyFont="1" applyFill="1" applyBorder="1" applyAlignment="1">
      <alignment horizontal="distributed" vertical="center" justifyLastLine="1"/>
    </xf>
    <xf numFmtId="176" fontId="27" fillId="0" borderId="0" xfId="0" applyNumberFormat="1" applyFont="1" applyFill="1" applyAlignment="1">
      <alignment horizontal="center" vertical="center"/>
    </xf>
    <xf numFmtId="0" fontId="61" fillId="0" borderId="0" xfId="0" applyFont="1" applyFill="1" applyBorder="1" applyAlignment="1">
      <alignment horizontal="distributed" vertical="center" justifyLastLine="1"/>
    </xf>
    <xf numFmtId="176" fontId="61" fillId="0" borderId="0" xfId="0" applyNumberFormat="1" applyFont="1" applyFill="1" applyAlignment="1">
      <alignment horizontal="center" vertical="center"/>
    </xf>
    <xf numFmtId="176" fontId="32" fillId="0" borderId="0" xfId="0" applyNumberFormat="1" applyFont="1" applyFill="1" applyBorder="1" applyAlignment="1">
      <alignment horizontal="distributed" vertical="center" indent="3"/>
    </xf>
    <xf numFmtId="0" fontId="32" fillId="0" borderId="0" xfId="0" applyFont="1" applyFill="1" applyBorder="1" applyAlignment="1">
      <alignment horizontal="distributed" vertical="center" justifyLastLine="1"/>
    </xf>
    <xf numFmtId="180" fontId="32" fillId="0" borderId="0" xfId="0" applyNumberFormat="1" applyFont="1" applyFill="1" applyBorder="1" applyAlignment="1" applyProtection="1">
      <alignment horizontal="distributed" vertical="center" wrapText="1"/>
      <protection locked="0"/>
    </xf>
    <xf numFmtId="176" fontId="28" fillId="0" borderId="73" xfId="0" applyNumberFormat="1" applyFont="1" applyFill="1" applyBorder="1" applyAlignment="1">
      <alignment horizontal="center" vertical="center"/>
    </xf>
    <xf numFmtId="176" fontId="28" fillId="0" borderId="36" xfId="0" applyNumberFormat="1" applyFont="1" applyFill="1" applyBorder="1" applyAlignment="1">
      <alignment horizontal="center" vertical="center"/>
    </xf>
    <xf numFmtId="176" fontId="27" fillId="0" borderId="11" xfId="0" applyNumberFormat="1" applyFont="1" applyFill="1" applyBorder="1">
      <alignment vertical="center"/>
    </xf>
    <xf numFmtId="176" fontId="24" fillId="0" borderId="0" xfId="0" applyNumberFormat="1" applyFont="1" applyFill="1">
      <alignment vertical="center"/>
    </xf>
    <xf numFmtId="0" fontId="0" fillId="0" borderId="0" xfId="0" applyFont="1" applyFill="1" applyAlignment="1"/>
    <xf numFmtId="0" fontId="0" fillId="0" borderId="0" xfId="0" applyFont="1" applyFill="1" applyAlignment="1">
      <alignment horizontal="right"/>
    </xf>
    <xf numFmtId="0" fontId="66" fillId="0" borderId="0" xfId="0" applyFont="1" applyFill="1">
      <alignment vertical="center"/>
    </xf>
    <xf numFmtId="192" fontId="33" fillId="0" borderId="123" xfId="0" applyNumberFormat="1" applyFont="1" applyFill="1" applyBorder="1" applyAlignment="1">
      <alignment horizontal="distributed" vertical="center" justifyLastLine="1"/>
    </xf>
    <xf numFmtId="192" fontId="33" fillId="0" borderId="124" xfId="0" applyNumberFormat="1" applyFont="1" applyFill="1" applyBorder="1" applyAlignment="1">
      <alignment horizontal="center" vertical="center"/>
    </xf>
    <xf numFmtId="0" fontId="0" fillId="0" borderId="25" xfId="0" applyFont="1" applyFill="1" applyBorder="1" applyAlignment="1">
      <alignment horizontal="center" vertical="center"/>
    </xf>
    <xf numFmtId="200" fontId="0" fillId="0" borderId="25" xfId="35" applyNumberFormat="1" applyFont="1" applyFill="1" applyBorder="1" applyAlignment="1">
      <alignment horizontal="center" vertical="center"/>
    </xf>
    <xf numFmtId="199" fontId="0" fillId="0" borderId="25" xfId="35" applyNumberFormat="1" applyFont="1" applyFill="1" applyBorder="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ont="1" applyFill="1">
      <alignment vertical="center"/>
    </xf>
    <xf numFmtId="190" fontId="0" fillId="0" borderId="25" xfId="0" applyNumberFormat="1" applyFont="1" applyFill="1" applyBorder="1" applyAlignment="1">
      <alignment horizontal="center" vertical="center"/>
    </xf>
    <xf numFmtId="184" fontId="33" fillId="0" borderId="123" xfId="0" applyNumberFormat="1" applyFont="1" applyFill="1" applyBorder="1" applyAlignment="1">
      <alignment horizontal="distributed" vertical="center" justifyLastLine="1"/>
    </xf>
    <xf numFmtId="184" fontId="33" fillId="0" borderId="124" xfId="0" applyNumberFormat="1" applyFont="1" applyFill="1" applyBorder="1" applyAlignment="1">
      <alignment horizontal="center" vertical="center"/>
    </xf>
    <xf numFmtId="176" fontId="0" fillId="0" borderId="25" xfId="0" applyNumberFormat="1" applyFont="1" applyFill="1" applyBorder="1" applyAlignment="1">
      <alignment horizontal="center" vertical="center"/>
    </xf>
    <xf numFmtId="184" fontId="33" fillId="0" borderId="124" xfId="0" applyNumberFormat="1" applyFont="1" applyFill="1" applyBorder="1" applyAlignment="1">
      <alignment horizontal="distributed" vertical="center" justifyLastLine="1"/>
    </xf>
    <xf numFmtId="0" fontId="0" fillId="0" borderId="0" xfId="0" applyFont="1" applyFill="1" applyAlignment="1">
      <alignment horizontal="distributed" vertical="center" wrapText="1" indent="1" shrinkToFit="1"/>
    </xf>
    <xf numFmtId="0" fontId="0" fillId="0" borderId="0" xfId="0" applyFont="1" applyFill="1" applyAlignment="1">
      <alignment horizontal="distributed" vertical="center" indent="1" shrinkToFit="1"/>
    </xf>
    <xf numFmtId="192" fontId="33" fillId="0" borderId="124" xfId="0" applyNumberFormat="1" applyFont="1" applyFill="1" applyBorder="1" applyAlignment="1">
      <alignment horizontal="distributed" vertical="center" justifyLastLine="1"/>
    </xf>
    <xf numFmtId="176" fontId="67" fillId="0" borderId="0" xfId="0" applyNumberFormat="1" applyFont="1" applyFill="1">
      <alignment vertical="center"/>
    </xf>
    <xf numFmtId="176" fontId="27" fillId="0" borderId="125" xfId="0" applyNumberFormat="1" applyFont="1" applyFill="1" applyBorder="1" applyAlignment="1">
      <alignment horizontal="distributed" vertical="center"/>
    </xf>
    <xf numFmtId="176" fontId="27" fillId="0" borderId="66" xfId="0" applyNumberFormat="1" applyFont="1" applyFill="1" applyBorder="1" applyAlignment="1">
      <alignment horizontal="distributed" vertical="center"/>
    </xf>
    <xf numFmtId="176" fontId="27" fillId="0" borderId="126" xfId="0" applyNumberFormat="1" applyFont="1" applyFill="1" applyBorder="1" applyAlignment="1">
      <alignment horizontal="distributed" vertical="center"/>
    </xf>
    <xf numFmtId="176" fontId="27" fillId="0" borderId="100" xfId="0" applyNumberFormat="1" applyFont="1" applyFill="1" applyBorder="1" applyAlignment="1">
      <alignment horizontal="distributed" vertical="center"/>
    </xf>
    <xf numFmtId="176" fontId="68" fillId="0" borderId="13" xfId="0" applyNumberFormat="1" applyFont="1" applyFill="1" applyBorder="1" applyAlignment="1">
      <alignment horizontal="distributed" wrapText="1"/>
    </xf>
    <xf numFmtId="176" fontId="27" fillId="0" borderId="127" xfId="0" applyNumberFormat="1" applyFont="1" applyFill="1" applyBorder="1">
      <alignment vertical="center"/>
    </xf>
    <xf numFmtId="176" fontId="27" fillId="0" borderId="65" xfId="0" applyNumberFormat="1" applyFont="1" applyFill="1" applyBorder="1">
      <alignment vertical="center"/>
    </xf>
    <xf numFmtId="176" fontId="27" fillId="0" borderId="128" xfId="0" applyNumberFormat="1" applyFont="1" applyFill="1" applyBorder="1">
      <alignment vertical="center"/>
    </xf>
    <xf numFmtId="176" fontId="27" fillId="0" borderId="98" xfId="0" applyNumberFormat="1" applyFont="1" applyFill="1" applyBorder="1">
      <alignment vertical="center"/>
    </xf>
    <xf numFmtId="179" fontId="28" fillId="0" borderId="65" xfId="0" applyNumberFormat="1" applyFont="1" applyFill="1" applyBorder="1">
      <alignment vertical="center"/>
    </xf>
    <xf numFmtId="178" fontId="27" fillId="0" borderId="0" xfId="0" applyNumberFormat="1" applyFont="1" applyFill="1" applyBorder="1">
      <alignment vertical="center"/>
    </xf>
    <xf numFmtId="0" fontId="27" fillId="0" borderId="0" xfId="0" applyFont="1" applyFill="1" applyAlignment="1">
      <alignment horizontal="right" vertical="center"/>
    </xf>
    <xf numFmtId="49" fontId="27" fillId="0" borderId="0" xfId="0" applyNumberFormat="1" applyFont="1" applyFill="1">
      <alignment vertical="center"/>
    </xf>
    <xf numFmtId="176" fontId="27" fillId="0" borderId="11" xfId="0" applyNumberFormat="1" applyFont="1" applyFill="1" applyBorder="1" applyAlignment="1">
      <alignment horizontal="distributed" vertical="center"/>
    </xf>
    <xf numFmtId="176" fontId="27" fillId="0" borderId="25" xfId="0" applyNumberFormat="1" applyFont="1" applyFill="1" applyBorder="1" applyAlignment="1">
      <alignment horizontal="center" vertical="center"/>
    </xf>
    <xf numFmtId="186" fontId="27" fillId="0" borderId="0" xfId="0" applyNumberFormat="1" applyFont="1" applyFill="1">
      <alignment vertical="center"/>
    </xf>
    <xf numFmtId="0" fontId="69" fillId="0" borderId="0" xfId="0" applyFont="1" applyFill="1" applyAlignment="1">
      <alignment horizontal="distributed" vertical="center" justifyLastLine="1"/>
    </xf>
    <xf numFmtId="178" fontId="69" fillId="0" borderId="0" xfId="0" applyNumberFormat="1" applyFont="1" applyFill="1">
      <alignment vertical="center"/>
    </xf>
    <xf numFmtId="176" fontId="69" fillId="0" borderId="0" xfId="0" applyNumberFormat="1" applyFont="1" applyFill="1">
      <alignment vertical="center"/>
    </xf>
    <xf numFmtId="0" fontId="69" fillId="0" borderId="0" xfId="0" applyFont="1" applyFill="1">
      <alignment vertical="center"/>
    </xf>
    <xf numFmtId="176" fontId="70" fillId="0" borderId="0" xfId="0" applyNumberFormat="1" applyFont="1" applyFill="1">
      <alignment vertical="center"/>
    </xf>
    <xf numFmtId="176" fontId="61" fillId="0" borderId="125" xfId="0" applyNumberFormat="1" applyFont="1" applyFill="1" applyBorder="1" applyAlignment="1">
      <alignment horizontal="distributed" vertical="center" wrapText="1"/>
    </xf>
    <xf numFmtId="176" fontId="61" fillId="0" borderId="66" xfId="0" applyNumberFormat="1" applyFont="1" applyFill="1" applyBorder="1" applyAlignment="1">
      <alignment horizontal="distributed" vertical="center" wrapText="1"/>
    </xf>
    <xf numFmtId="176" fontId="61" fillId="0" borderId="126" xfId="0" applyNumberFormat="1" applyFont="1" applyFill="1" applyBorder="1" applyAlignment="1">
      <alignment horizontal="distributed" vertical="center" wrapText="1"/>
    </xf>
    <xf numFmtId="176" fontId="61" fillId="0" borderId="100" xfId="0" applyNumberFormat="1" applyFont="1" applyFill="1" applyBorder="1" applyAlignment="1">
      <alignment horizontal="distributed" vertical="center" wrapText="1"/>
    </xf>
    <xf numFmtId="176" fontId="61" fillId="0" borderId="100" xfId="0" applyNumberFormat="1" applyFont="1" applyFill="1" applyBorder="1" applyAlignment="1">
      <alignment horizontal="distributed" vertical="center"/>
    </xf>
    <xf numFmtId="176" fontId="71" fillId="0" borderId="13" xfId="0" applyNumberFormat="1" applyFont="1" applyFill="1" applyBorder="1" applyAlignment="1">
      <alignment horizontal="distributed" wrapText="1"/>
    </xf>
    <xf numFmtId="176" fontId="61" fillId="0" borderId="127" xfId="0" applyNumberFormat="1" applyFont="1" applyFill="1" applyBorder="1">
      <alignment vertical="center"/>
    </xf>
    <xf numFmtId="176" fontId="61" fillId="0" borderId="65" xfId="0" applyNumberFormat="1" applyFont="1" applyFill="1" applyBorder="1">
      <alignment vertical="center"/>
    </xf>
    <xf numFmtId="176" fontId="61" fillId="0" borderId="128" xfId="0" applyNumberFormat="1" applyFont="1" applyFill="1" applyBorder="1">
      <alignment vertical="center"/>
    </xf>
    <xf numFmtId="176" fontId="61" fillId="0" borderId="98" xfId="0" applyNumberFormat="1" applyFont="1" applyFill="1" applyBorder="1">
      <alignment vertical="center"/>
    </xf>
    <xf numFmtId="176" fontId="61" fillId="0" borderId="129" xfId="0" applyNumberFormat="1" applyFont="1" applyFill="1" applyBorder="1">
      <alignment vertical="center"/>
    </xf>
    <xf numFmtId="179" fontId="63" fillId="0" borderId="65" xfId="0" applyNumberFormat="1" applyFont="1" applyFill="1" applyBorder="1">
      <alignment vertical="center"/>
    </xf>
    <xf numFmtId="178" fontId="61" fillId="0" borderId="0" xfId="0" applyNumberFormat="1" applyFont="1" applyFill="1" applyBorder="1">
      <alignment vertical="center"/>
    </xf>
    <xf numFmtId="176" fontId="61" fillId="0" borderId="0" xfId="0" applyNumberFormat="1" applyFont="1" applyFill="1" applyBorder="1">
      <alignment vertical="center"/>
    </xf>
    <xf numFmtId="0" fontId="61" fillId="0" borderId="0" xfId="0" applyFont="1" applyFill="1" applyAlignment="1">
      <alignment horizontal="right" vertical="center"/>
    </xf>
    <xf numFmtId="49" fontId="61" fillId="0" borderId="0" xfId="0" applyNumberFormat="1" applyFont="1" applyFill="1">
      <alignment vertical="center"/>
    </xf>
    <xf numFmtId="178" fontId="27" fillId="0" borderId="0" xfId="0" applyNumberFormat="1" applyFont="1" applyFill="1" applyAlignment="1">
      <alignment horizontal="right" vertical="center"/>
    </xf>
    <xf numFmtId="176" fontId="46" fillId="0" borderId="11" xfId="0" applyNumberFormat="1" applyFont="1" applyFill="1" applyBorder="1" applyAlignment="1">
      <alignment horizontal="distributed" vertical="center" wrapText="1"/>
    </xf>
    <xf numFmtId="176" fontId="27" fillId="0" borderId="0" xfId="0" applyNumberFormat="1" applyFont="1" applyFill="1" applyBorder="1" applyAlignment="1">
      <alignment horizontal="distributed" vertical="center"/>
    </xf>
    <xf numFmtId="0" fontId="46" fillId="0" borderId="0" xfId="0" applyFont="1" applyFill="1" applyBorder="1" applyAlignment="1">
      <alignment horizontal="distributed" vertical="center" wrapText="1"/>
    </xf>
    <xf numFmtId="38" fontId="27" fillId="0" borderId="11" xfId="35" applyFont="1" applyFill="1" applyBorder="1">
      <alignment vertical="center"/>
    </xf>
    <xf numFmtId="0" fontId="27" fillId="0" borderId="0" xfId="0" applyFont="1" applyFill="1" applyBorder="1">
      <alignment vertical="center"/>
    </xf>
    <xf numFmtId="38" fontId="27" fillId="0" borderId="0" xfId="35" applyFont="1" applyFill="1" applyBorder="1">
      <alignment vertical="center"/>
    </xf>
    <xf numFmtId="0" fontId="46" fillId="0" borderId="11" xfId="0" applyFont="1" applyFill="1" applyBorder="1" applyAlignment="1">
      <alignment horizontal="distributed" vertical="center" wrapText="1"/>
    </xf>
    <xf numFmtId="176" fontId="27" fillId="0" borderId="11" xfId="0" applyNumberFormat="1" applyFont="1" applyFill="1" applyBorder="1" applyAlignment="1">
      <alignment horizontal="center" vertical="center"/>
    </xf>
    <xf numFmtId="0" fontId="69" fillId="0" borderId="0" xfId="0" applyFont="1" applyFill="1" applyAlignment="1">
      <alignment vertical="center"/>
    </xf>
    <xf numFmtId="176" fontId="69" fillId="0" borderId="0" xfId="0" applyNumberFormat="1" applyFont="1" applyFill="1" applyAlignment="1">
      <alignment horizontal="center" vertical="center"/>
    </xf>
    <xf numFmtId="179" fontId="27" fillId="0" borderId="0" xfId="0" applyNumberFormat="1" applyFont="1" applyFill="1" applyAlignment="1">
      <alignment horizontal="center" vertical="center"/>
    </xf>
    <xf numFmtId="193" fontId="27" fillId="0" borderId="0" xfId="0" applyNumberFormat="1" applyFont="1" applyFill="1" applyAlignment="1">
      <alignment horizontal="center" vertical="center"/>
    </xf>
    <xf numFmtId="176" fontId="73" fillId="0" borderId="0" xfId="0" applyNumberFormat="1" applyFont="1" applyFill="1">
      <alignment vertical="center"/>
    </xf>
    <xf numFmtId="176" fontId="32" fillId="0" borderId="25" xfId="0" applyNumberFormat="1" applyFont="1" applyFill="1" applyBorder="1" applyAlignment="1">
      <alignment horizontal="center" vertical="center"/>
    </xf>
    <xf numFmtId="176" fontId="32" fillId="0" borderId="0" xfId="0" applyNumberFormat="1" applyFont="1" applyFill="1" applyBorder="1">
      <alignment vertical="center"/>
    </xf>
    <xf numFmtId="176" fontId="32" fillId="0" borderId="0" xfId="0" applyNumberFormat="1" applyFont="1" applyFill="1" applyBorder="1" applyAlignment="1">
      <alignment horizontal="right" vertical="center" indent="1"/>
    </xf>
    <xf numFmtId="0" fontId="32" fillId="0" borderId="0" xfId="0" applyFont="1" applyFill="1" applyBorder="1" applyAlignment="1">
      <alignment horizontal="distributed" vertical="center" indent="1"/>
    </xf>
    <xf numFmtId="176" fontId="32" fillId="0" borderId="0" xfId="0" applyNumberFormat="1" applyFont="1" applyFill="1" applyBorder="1" applyAlignment="1">
      <alignment vertical="center"/>
    </xf>
    <xf numFmtId="176" fontId="27" fillId="0" borderId="0" xfId="0" applyNumberFormat="1" applyFont="1" applyFill="1" applyBorder="1" applyAlignment="1">
      <alignment vertical="center"/>
    </xf>
    <xf numFmtId="185" fontId="27" fillId="0" borderId="0" xfId="0" applyNumberFormat="1" applyFont="1" applyFill="1">
      <alignment vertical="center"/>
    </xf>
    <xf numFmtId="0" fontId="32" fillId="0" borderId="0" xfId="0" applyFont="1" applyFill="1" applyBorder="1" applyAlignment="1" applyProtection="1">
      <alignment horizontal="center" vertical="center"/>
      <protection locked="0"/>
    </xf>
    <xf numFmtId="0" fontId="32" fillId="0" borderId="0" xfId="0" applyFont="1" applyFill="1" applyProtection="1">
      <alignment vertical="center"/>
      <protection locked="0"/>
    </xf>
    <xf numFmtId="0" fontId="32" fillId="0" borderId="0" xfId="0" applyFont="1" applyFill="1" applyBorder="1" applyAlignment="1" applyProtection="1">
      <alignment horizontal="left" vertical="center"/>
      <protection locked="0"/>
    </xf>
    <xf numFmtId="0" fontId="32" fillId="0" borderId="46" xfId="0" applyFont="1" applyFill="1" applyBorder="1" applyAlignment="1" applyProtection="1">
      <alignment horizontal="center" vertical="center"/>
      <protection locked="0"/>
    </xf>
    <xf numFmtId="0" fontId="32" fillId="0" borderId="47" xfId="0" applyFont="1" applyFill="1" applyBorder="1" applyAlignment="1" applyProtection="1">
      <alignment horizontal="center" vertical="center"/>
      <protection locked="0"/>
    </xf>
    <xf numFmtId="0" fontId="32" fillId="0" borderId="48" xfId="0" applyFont="1" applyFill="1" applyBorder="1" applyAlignment="1" applyProtection="1">
      <alignment horizontal="center" vertical="center"/>
      <protection locked="0"/>
    </xf>
    <xf numFmtId="0" fontId="27" fillId="0" borderId="101" xfId="0" applyFont="1" applyFill="1" applyBorder="1" applyAlignment="1" applyProtection="1">
      <alignment horizontal="left" vertical="top" wrapText="1"/>
      <protection locked="0"/>
    </xf>
    <xf numFmtId="0" fontId="27" fillId="0" borderId="102" xfId="0" applyFont="1" applyFill="1" applyBorder="1" applyAlignment="1" applyProtection="1">
      <alignment horizontal="left" vertical="top" wrapText="1"/>
      <protection locked="0"/>
    </xf>
    <xf numFmtId="0" fontId="27" fillId="0" borderId="103" xfId="0" applyFont="1" applyFill="1" applyBorder="1" applyAlignment="1" applyProtection="1">
      <alignment horizontal="left" vertical="top" wrapText="1"/>
      <protection locked="0"/>
    </xf>
    <xf numFmtId="0" fontId="26" fillId="0" borderId="0" xfId="0" applyFont="1" applyFill="1" applyBorder="1" applyAlignment="1" applyProtection="1">
      <alignment vertical="center"/>
      <protection locked="0"/>
    </xf>
    <xf numFmtId="0" fontId="32" fillId="0" borderId="0" xfId="0" applyFont="1" applyFill="1" applyAlignment="1" applyProtection="1">
      <alignment horizontal="right" vertical="center"/>
      <protection locked="0"/>
    </xf>
    <xf numFmtId="0" fontId="32" fillId="0" borderId="0" xfId="0" applyFont="1" applyFill="1" applyAlignment="1" applyProtection="1">
      <alignment horizontal="center" vertical="center"/>
      <protection locked="0"/>
    </xf>
    <xf numFmtId="0" fontId="32" fillId="0" borderId="108" xfId="0" applyFont="1" applyFill="1" applyBorder="1" applyAlignment="1" applyProtection="1">
      <alignment horizontal="center" vertical="center"/>
      <protection locked="0"/>
    </xf>
    <xf numFmtId="0" fontId="27" fillId="0" borderId="109" xfId="0" applyFont="1" applyFill="1" applyBorder="1" applyAlignment="1" applyProtection="1">
      <alignment horizontal="left" vertical="top" wrapText="1"/>
      <protection locked="0"/>
    </xf>
    <xf numFmtId="0" fontId="32" fillId="0" borderId="36"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37"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181" fontId="26" fillId="0" borderId="0" xfId="0" applyNumberFormat="1" applyFont="1" applyFill="1" applyBorder="1" applyAlignment="1" applyProtection="1">
      <alignment horizontal="center" vertical="center"/>
      <protection locked="0"/>
    </xf>
    <xf numFmtId="180" fontId="73" fillId="0" borderId="0" xfId="0" applyNumberFormat="1" applyFont="1" applyFill="1" applyBorder="1" applyAlignment="1" applyProtection="1">
      <alignment horizontal="right" vertical="center"/>
      <protection locked="0"/>
    </xf>
    <xf numFmtId="190" fontId="32" fillId="0" borderId="0" xfId="0" applyNumberFormat="1" applyFont="1" applyFill="1" applyBorder="1" applyAlignment="1" applyProtection="1">
      <alignment horizontal="right" vertical="center"/>
      <protection locked="0"/>
    </xf>
    <xf numFmtId="180" fontId="32" fillId="0" borderId="0" xfId="0" applyNumberFormat="1" applyFont="1" applyFill="1" applyBorder="1" applyAlignment="1" applyProtection="1">
      <alignment vertical="center" justifyLastLine="1"/>
      <protection locked="0"/>
    </xf>
    <xf numFmtId="180" fontId="27" fillId="0" borderId="0" xfId="0" applyNumberFormat="1" applyFont="1" applyFill="1" applyBorder="1" applyAlignment="1" applyProtection="1">
      <alignment horizontal="distributed" vertical="center" wrapText="1"/>
      <protection locked="0"/>
    </xf>
    <xf numFmtId="0" fontId="32" fillId="0" borderId="0" xfId="0" applyFont="1" applyFill="1" applyAlignment="1" applyProtection="1">
      <alignment horizontal="distributed" vertical="center" wrapText="1"/>
      <protection locked="0"/>
    </xf>
    <xf numFmtId="181" fontId="26" fillId="0" borderId="0" xfId="0" applyNumberFormat="1" applyFont="1" applyFill="1" applyBorder="1" applyAlignment="1" applyProtection="1">
      <alignment horizontal="distributed" vertical="center" wrapText="1"/>
      <protection locked="0"/>
    </xf>
    <xf numFmtId="180" fontId="32" fillId="0" borderId="38" xfId="0" applyNumberFormat="1" applyFont="1" applyFill="1" applyBorder="1" applyAlignment="1" applyProtection="1">
      <alignment horizontal="center" vertical="center"/>
      <protection locked="0"/>
    </xf>
    <xf numFmtId="180" fontId="32" fillId="0" borderId="39" xfId="0" applyNumberFormat="1" applyFont="1" applyFill="1" applyBorder="1" applyAlignment="1" applyProtection="1">
      <alignment horizontal="center" vertical="center"/>
      <protection locked="0"/>
    </xf>
    <xf numFmtId="180" fontId="32" fillId="0" borderId="0"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180" fontId="32" fillId="0" borderId="112" xfId="0" applyNumberFormat="1" applyFont="1" applyFill="1" applyBorder="1" applyAlignment="1" applyProtection="1">
      <alignment horizontal="center" vertical="center"/>
      <protection locked="0"/>
    </xf>
    <xf numFmtId="180" fontId="32" fillId="0" borderId="44" xfId="0" applyNumberFormat="1" applyFont="1" applyFill="1" applyBorder="1" applyAlignment="1" applyProtection="1">
      <alignment horizontal="center" vertical="center"/>
      <protection locked="0"/>
    </xf>
    <xf numFmtId="180" fontId="73" fillId="0" borderId="0" xfId="0" applyNumberFormat="1" applyFont="1" applyFill="1" applyBorder="1" applyAlignment="1" applyProtection="1">
      <alignment vertical="center"/>
      <protection locked="0"/>
    </xf>
    <xf numFmtId="0" fontId="32" fillId="0" borderId="42" xfId="0" applyFont="1" applyFill="1" applyBorder="1" applyAlignment="1" applyProtection="1">
      <alignment horizontal="center" vertical="center"/>
      <protection locked="0"/>
    </xf>
    <xf numFmtId="0" fontId="27" fillId="0" borderId="43" xfId="0" applyFont="1" applyFill="1" applyBorder="1" applyAlignment="1" applyProtection="1">
      <alignment horizontal="left" vertical="top" wrapText="1"/>
      <protection locked="0"/>
    </xf>
    <xf numFmtId="0" fontId="27" fillId="0" borderId="44" xfId="0" applyFont="1" applyFill="1" applyBorder="1" applyAlignment="1" applyProtection="1">
      <alignment horizontal="left" vertical="top" wrapText="1"/>
      <protection locked="0"/>
    </xf>
    <xf numFmtId="0" fontId="46" fillId="0" borderId="44" xfId="0" applyFont="1" applyFill="1" applyBorder="1" applyAlignment="1" applyProtection="1">
      <alignment horizontal="left" vertical="top" wrapText="1"/>
      <protection locked="0"/>
    </xf>
    <xf numFmtId="0" fontId="27" fillId="0" borderId="45" xfId="0" applyFont="1" applyFill="1" applyBorder="1" applyAlignment="1" applyProtection="1">
      <alignment horizontal="left" vertical="top" wrapText="1"/>
      <protection locked="0"/>
    </xf>
    <xf numFmtId="0" fontId="32" fillId="0" borderId="51" xfId="0" applyFont="1" applyFill="1" applyBorder="1" applyAlignment="1" applyProtection="1">
      <alignment horizontal="center" vertical="center"/>
    </xf>
    <xf numFmtId="0" fontId="32" fillId="0" borderId="0" xfId="0" applyFont="1" applyFill="1" applyAlignment="1" applyProtection="1">
      <alignment vertical="center" wrapText="1"/>
      <protection locked="0"/>
    </xf>
    <xf numFmtId="180" fontId="32" fillId="0" borderId="54" xfId="0" applyNumberFormat="1" applyFont="1" applyFill="1" applyBorder="1" applyAlignment="1" applyProtection="1">
      <alignment horizontal="distributed" vertical="center" wrapText="1"/>
      <protection locked="0"/>
    </xf>
    <xf numFmtId="180" fontId="42" fillId="0" borderId="55" xfId="0" applyNumberFormat="1" applyFont="1" applyFill="1" applyBorder="1" applyAlignment="1" applyProtection="1">
      <alignment horizontal="distributed" vertical="center" wrapText="1"/>
      <protection locked="0"/>
    </xf>
    <xf numFmtId="180" fontId="27" fillId="0" borderId="55" xfId="0" applyNumberFormat="1" applyFont="1" applyFill="1" applyBorder="1" applyAlignment="1" applyProtection="1">
      <alignment horizontal="distributed" vertical="center" wrapText="1"/>
      <protection locked="0"/>
    </xf>
    <xf numFmtId="180" fontId="32" fillId="0" borderId="55" xfId="0" applyNumberFormat="1" applyFont="1" applyFill="1" applyBorder="1" applyAlignment="1" applyProtection="1">
      <alignment horizontal="distributed" vertical="center" wrapText="1"/>
      <protection locked="0"/>
    </xf>
    <xf numFmtId="180" fontId="32" fillId="0" borderId="56" xfId="0" applyNumberFormat="1" applyFont="1" applyFill="1" applyBorder="1" applyAlignment="1" applyProtection="1">
      <alignment horizontal="distributed" vertical="center" wrapText="1"/>
      <protection locked="0"/>
    </xf>
    <xf numFmtId="180" fontId="32" fillId="0" borderId="0" xfId="0" applyNumberFormat="1" applyFont="1" applyFill="1" applyBorder="1" applyAlignment="1" applyProtection="1">
      <alignment horizontal="right" vertical="center" wrapText="1"/>
      <protection locked="0"/>
    </xf>
    <xf numFmtId="181" fontId="26" fillId="0" borderId="0" xfId="0" applyNumberFormat="1" applyFont="1" applyFill="1" applyBorder="1" applyAlignment="1" applyProtection="1">
      <alignment horizontal="center" vertical="center" wrapText="1"/>
      <protection locked="0"/>
    </xf>
    <xf numFmtId="180" fontId="42" fillId="0" borderId="57" xfId="0" applyNumberFormat="1" applyFont="1" applyFill="1" applyBorder="1" applyAlignment="1" applyProtection="1">
      <alignment horizontal="center" vertical="center"/>
      <protection locked="0"/>
    </xf>
    <xf numFmtId="180" fontId="32" fillId="0" borderId="59" xfId="0" applyNumberFormat="1" applyFont="1" applyFill="1" applyBorder="1" applyAlignment="1" applyProtection="1">
      <alignment horizontal="right" vertical="center"/>
      <protection locked="0"/>
    </xf>
    <xf numFmtId="180" fontId="32" fillId="0" borderId="61" xfId="0" applyNumberFormat="1" applyFont="1" applyFill="1" applyBorder="1" applyAlignment="1" applyProtection="1">
      <alignment horizontal="right" vertical="center"/>
      <protection locked="0"/>
    </xf>
    <xf numFmtId="180" fontId="32" fillId="0" borderId="63" xfId="0" applyNumberFormat="1" applyFont="1" applyFill="1" applyBorder="1" applyAlignment="1" applyProtection="1">
      <alignment horizontal="right" vertical="center"/>
      <protection locked="0"/>
    </xf>
    <xf numFmtId="176" fontId="74" fillId="0" borderId="0" xfId="0" applyNumberFormat="1" applyFont="1" applyFill="1">
      <alignment vertical="center"/>
    </xf>
    <xf numFmtId="176" fontId="27" fillId="0" borderId="130" xfId="0" applyNumberFormat="1" applyFont="1" applyFill="1" applyBorder="1" applyAlignment="1">
      <alignment horizontal="distributed" vertical="center" wrapText="1"/>
    </xf>
    <xf numFmtId="176" fontId="46" fillId="0" borderId="130" xfId="0" applyNumberFormat="1" applyFont="1" applyFill="1" applyBorder="1" applyAlignment="1">
      <alignment horizontal="distributed" vertical="center" wrapText="1"/>
    </xf>
    <xf numFmtId="176" fontId="27" fillId="0" borderId="130" xfId="0" applyNumberFormat="1" applyFont="1" applyFill="1" applyBorder="1" applyAlignment="1">
      <alignment horizontal="distributed" vertical="center"/>
    </xf>
    <xf numFmtId="176" fontId="72" fillId="0" borderId="130" xfId="0" applyNumberFormat="1" applyFont="1" applyFill="1" applyBorder="1" applyAlignment="1">
      <alignment horizontal="distributed" vertical="center" wrapText="1"/>
    </xf>
    <xf numFmtId="176" fontId="27" fillId="0" borderId="39" xfId="0" applyNumberFormat="1" applyFont="1" applyFill="1" applyBorder="1">
      <alignment vertical="center"/>
    </xf>
    <xf numFmtId="176" fontId="28" fillId="0" borderId="39" xfId="0" applyNumberFormat="1" applyFont="1" applyFill="1" applyBorder="1">
      <alignment vertical="center"/>
    </xf>
    <xf numFmtId="176" fontId="28" fillId="0" borderId="57" xfId="0" applyNumberFormat="1" applyFont="1" applyFill="1" applyBorder="1">
      <alignment vertical="center"/>
    </xf>
    <xf numFmtId="176" fontId="27" fillId="0" borderId="0" xfId="0" applyNumberFormat="1" applyFont="1" applyFill="1" applyAlignment="1">
      <alignment horizontal="right" vertical="center"/>
    </xf>
    <xf numFmtId="0" fontId="27" fillId="0" borderId="91" xfId="0" applyFont="1" applyFill="1" applyBorder="1" applyAlignment="1">
      <alignment horizontal="distributed" vertical="center" justifyLastLine="1"/>
    </xf>
    <xf numFmtId="178" fontId="27" fillId="0" borderId="92" xfId="0" applyNumberFormat="1" applyFont="1" applyFill="1" applyBorder="1" applyAlignment="1">
      <alignment horizontal="center" vertical="center"/>
    </xf>
    <xf numFmtId="176" fontId="27" fillId="0" borderId="92" xfId="0" applyNumberFormat="1" applyFont="1" applyFill="1" applyBorder="1" applyAlignment="1">
      <alignment horizontal="center" vertical="center"/>
    </xf>
    <xf numFmtId="176" fontId="27" fillId="0" borderId="131" xfId="0" applyNumberFormat="1" applyFont="1" applyFill="1" applyBorder="1" applyAlignment="1">
      <alignment horizontal="center" vertical="center"/>
    </xf>
    <xf numFmtId="0" fontId="27" fillId="0" borderId="115" xfId="0" applyFont="1" applyFill="1" applyBorder="1" applyAlignment="1">
      <alignment horizontal="distributed" vertical="center" wrapText="1"/>
    </xf>
    <xf numFmtId="178" fontId="46" fillId="0" borderId="94" xfId="0" applyNumberFormat="1" applyFont="1" applyFill="1" applyBorder="1" applyAlignment="1">
      <alignment horizontal="distributed" vertical="center" wrapText="1"/>
    </xf>
    <xf numFmtId="176" fontId="27" fillId="0" borderId="94" xfId="0" applyNumberFormat="1" applyFont="1" applyFill="1" applyBorder="1" applyAlignment="1">
      <alignment horizontal="distributed" vertical="center" wrapText="1"/>
    </xf>
    <xf numFmtId="176" fontId="46" fillId="0" borderId="94" xfId="0" applyNumberFormat="1" applyFont="1" applyFill="1" applyBorder="1" applyAlignment="1">
      <alignment horizontal="distributed" vertical="center" wrapText="1"/>
    </xf>
    <xf numFmtId="176" fontId="46" fillId="0" borderId="81" xfId="0" applyNumberFormat="1" applyFont="1" applyFill="1" applyBorder="1" applyAlignment="1">
      <alignment horizontal="distributed" vertical="center" wrapText="1"/>
    </xf>
    <xf numFmtId="176" fontId="27" fillId="0" borderId="0" xfId="0" applyNumberFormat="1" applyFont="1" applyFill="1" applyAlignment="1">
      <alignment vertical="center"/>
    </xf>
    <xf numFmtId="176" fontId="27" fillId="0" borderId="62" xfId="0" applyNumberFormat="1" applyFont="1" applyFill="1" applyBorder="1" applyAlignment="1">
      <alignment vertical="center"/>
    </xf>
    <xf numFmtId="176" fontId="27" fillId="0" borderId="12" xfId="0" applyNumberFormat="1" applyFont="1" applyFill="1" applyBorder="1" applyAlignment="1">
      <alignment vertical="center"/>
    </xf>
    <xf numFmtId="176" fontId="27" fillId="0" borderId="53" xfId="0" applyNumberFormat="1" applyFont="1" applyFill="1" applyBorder="1" applyAlignment="1">
      <alignment vertical="center"/>
    </xf>
    <xf numFmtId="0" fontId="27" fillId="0" borderId="0" xfId="0" applyFont="1" applyFill="1" applyAlignment="1">
      <alignment horizontal="distributed" vertical="center" wrapText="1"/>
    </xf>
    <xf numFmtId="0" fontId="27" fillId="0" borderId="11" xfId="0" applyFont="1" applyFill="1" applyBorder="1" applyAlignment="1">
      <alignment horizontal="distributed" vertical="center" wrapText="1"/>
    </xf>
    <xf numFmtId="178" fontId="27" fillId="0" borderId="11" xfId="0" applyNumberFormat="1" applyFont="1" applyFill="1" applyBorder="1" applyAlignment="1">
      <alignment horizontal="distributed" vertical="center" wrapText="1"/>
    </xf>
    <xf numFmtId="176" fontId="27" fillId="0" borderId="0" xfId="0" applyNumberFormat="1" applyFont="1" applyFill="1" applyAlignment="1">
      <alignment horizontal="distributed" vertical="center" wrapText="1"/>
    </xf>
    <xf numFmtId="176" fontId="67" fillId="0" borderId="0" xfId="0" applyNumberFormat="1" applyFont="1" applyFill="1" applyAlignment="1">
      <alignment horizontal="right" vertical="center"/>
    </xf>
    <xf numFmtId="176" fontId="27" fillId="0" borderId="24" xfId="0" applyNumberFormat="1" applyFont="1" applyFill="1" applyBorder="1">
      <alignment vertical="center"/>
    </xf>
    <xf numFmtId="176" fontId="27" fillId="0" borderId="15" xfId="0" applyNumberFormat="1" applyFont="1" applyFill="1" applyBorder="1" applyAlignment="1">
      <alignment horizontal="center" vertical="center"/>
    </xf>
    <xf numFmtId="176" fontId="27" fillId="0" borderId="132" xfId="0" applyNumberFormat="1" applyFont="1" applyFill="1" applyBorder="1" applyAlignment="1">
      <alignment horizontal="center" vertical="center"/>
    </xf>
    <xf numFmtId="0" fontId="27" fillId="0" borderId="61" xfId="0" applyFont="1" applyFill="1" applyBorder="1" applyAlignment="1">
      <alignment vertical="center"/>
    </xf>
    <xf numFmtId="178" fontId="27" fillId="0" borderId="68" xfId="0" applyNumberFormat="1" applyFont="1" applyFill="1" applyBorder="1">
      <alignment vertical="center"/>
    </xf>
    <xf numFmtId="176" fontId="27" fillId="0" borderId="83" xfId="0" applyNumberFormat="1" applyFont="1" applyFill="1" applyBorder="1">
      <alignment vertical="center"/>
    </xf>
    <xf numFmtId="0" fontId="27" fillId="0" borderId="133" xfId="0" applyFont="1" applyFill="1" applyBorder="1" applyAlignment="1">
      <alignment vertical="center"/>
    </xf>
    <xf numFmtId="176" fontId="27" fillId="0" borderId="133" xfId="0" applyNumberFormat="1" applyFont="1" applyFill="1" applyBorder="1">
      <alignment vertical="center"/>
    </xf>
    <xf numFmtId="0" fontId="46" fillId="0" borderId="61" xfId="0" applyFont="1" applyFill="1" applyBorder="1" applyAlignment="1">
      <alignment vertical="center"/>
    </xf>
    <xf numFmtId="178" fontId="46" fillId="0" borderId="68" xfId="0" applyNumberFormat="1" applyFont="1" applyFill="1" applyBorder="1">
      <alignment vertical="center"/>
    </xf>
    <xf numFmtId="176" fontId="27" fillId="0" borderId="136" xfId="0" applyNumberFormat="1" applyFont="1" applyFill="1" applyBorder="1">
      <alignment vertical="center"/>
    </xf>
    <xf numFmtId="176" fontId="27" fillId="0" borderId="137" xfId="0" applyNumberFormat="1" applyFont="1" applyFill="1" applyBorder="1">
      <alignment vertical="center"/>
    </xf>
    <xf numFmtId="176" fontId="27" fillId="0" borderId="15" xfId="0" applyNumberFormat="1" applyFont="1" applyFill="1" applyBorder="1">
      <alignment vertical="center"/>
    </xf>
    <xf numFmtId="176" fontId="27" fillId="0" borderId="132" xfId="0" applyNumberFormat="1" applyFont="1" applyFill="1" applyBorder="1">
      <alignment vertical="center"/>
    </xf>
    <xf numFmtId="0" fontId="67" fillId="0" borderId="0" xfId="0" applyFont="1" applyFill="1" applyAlignment="1">
      <alignment horizontal="right" vertical="center"/>
    </xf>
    <xf numFmtId="178" fontId="27" fillId="0" borderId="69" xfId="0" applyNumberFormat="1" applyFont="1" applyFill="1" applyBorder="1" applyAlignment="1">
      <alignment horizontal="center" vertical="center"/>
    </xf>
    <xf numFmtId="176" fontId="27" fillId="0" borderId="69" xfId="0" applyNumberFormat="1" applyFont="1" applyFill="1" applyBorder="1" applyAlignment="1">
      <alignment horizontal="center" vertical="center"/>
    </xf>
    <xf numFmtId="176" fontId="27" fillId="0" borderId="69" xfId="0" applyNumberFormat="1" applyFont="1" applyFill="1" applyBorder="1" applyAlignment="1">
      <alignment horizontal="center" vertical="center" shrinkToFit="1"/>
    </xf>
    <xf numFmtId="176" fontId="27" fillId="0" borderId="21" xfId="0" applyNumberFormat="1" applyFont="1" applyFill="1" applyBorder="1" applyAlignment="1">
      <alignment horizontal="center" vertical="center"/>
    </xf>
    <xf numFmtId="0" fontId="27" fillId="0" borderId="69" xfId="0" applyFont="1" applyFill="1" applyBorder="1" applyAlignment="1">
      <alignment horizontal="center" vertical="center"/>
    </xf>
    <xf numFmtId="0" fontId="27" fillId="0" borderId="0" xfId="0" applyFont="1" applyFill="1" applyAlignment="1">
      <alignment horizontal="center" vertical="center" justifyLastLine="1"/>
    </xf>
    <xf numFmtId="178" fontId="27" fillId="0" borderId="94" xfId="0" applyNumberFormat="1" applyFont="1" applyFill="1" applyBorder="1" applyAlignment="1">
      <alignment horizontal="center" vertical="center"/>
    </xf>
    <xf numFmtId="176" fontId="27" fillId="0" borderId="94" xfId="0" applyNumberFormat="1" applyFont="1" applyFill="1" applyBorder="1" applyAlignment="1">
      <alignment horizontal="center" vertical="center"/>
    </xf>
    <xf numFmtId="176" fontId="27" fillId="0" borderId="24" xfId="0" applyNumberFormat="1" applyFont="1" applyFill="1" applyBorder="1" applyAlignment="1">
      <alignment horizontal="center" vertical="center"/>
    </xf>
    <xf numFmtId="0" fontId="27" fillId="0" borderId="94" xfId="0" applyFont="1" applyFill="1" applyBorder="1" applyAlignment="1">
      <alignment horizontal="center" vertical="center"/>
    </xf>
    <xf numFmtId="178" fontId="27" fillId="0" borderId="11" xfId="0" applyNumberFormat="1" applyFont="1" applyFill="1" applyBorder="1" applyAlignment="1">
      <alignment horizontal="center" vertical="center"/>
    </xf>
    <xf numFmtId="176" fontId="27" fillId="0" borderId="66" xfId="0" applyNumberFormat="1" applyFont="1" applyFill="1" applyBorder="1">
      <alignment vertical="center"/>
    </xf>
    <xf numFmtId="12" fontId="27" fillId="0" borderId="66" xfId="0" applyNumberFormat="1" applyFont="1" applyFill="1" applyBorder="1" applyAlignment="1">
      <alignment horizontal="center" vertical="center"/>
    </xf>
    <xf numFmtId="176" fontId="27" fillId="0" borderId="64" xfId="0" applyNumberFormat="1" applyFont="1" applyFill="1" applyBorder="1">
      <alignment vertical="center"/>
    </xf>
    <xf numFmtId="12" fontId="27" fillId="0" borderId="64" xfId="0" applyNumberFormat="1" applyFont="1" applyFill="1" applyBorder="1" applyAlignment="1">
      <alignment horizontal="center" vertical="center"/>
    </xf>
    <xf numFmtId="12" fontId="27" fillId="0" borderId="65" xfId="0" applyNumberFormat="1" applyFont="1" applyFill="1" applyBorder="1" applyAlignment="1">
      <alignment horizontal="center" vertical="center"/>
    </xf>
    <xf numFmtId="183" fontId="27" fillId="0" borderId="64" xfId="0" applyNumberFormat="1" applyFont="1" applyFill="1" applyBorder="1" applyAlignment="1">
      <alignment horizontal="center" vertical="center"/>
    </xf>
    <xf numFmtId="13" fontId="27" fillId="0" borderId="64" xfId="0" applyNumberFormat="1" applyFont="1" applyFill="1" applyBorder="1" applyAlignment="1">
      <alignment horizontal="center" vertical="center"/>
    </xf>
    <xf numFmtId="0" fontId="27" fillId="0" borderId="11" xfId="0" applyFont="1" applyFill="1" applyBorder="1" applyAlignment="1">
      <alignment horizontal="distributed" vertical="center" indent="1"/>
    </xf>
    <xf numFmtId="178" fontId="27" fillId="0" borderId="11" xfId="0" applyNumberFormat="1" applyFont="1" applyFill="1" applyBorder="1" applyAlignment="1">
      <alignment horizontal="distributed" vertical="center" indent="1"/>
    </xf>
    <xf numFmtId="176" fontId="27" fillId="0" borderId="11" xfId="0" applyNumberFormat="1" applyFont="1" applyFill="1" applyBorder="1" applyAlignment="1">
      <alignment horizontal="distributed" vertical="center" indent="1"/>
    </xf>
    <xf numFmtId="0" fontId="27" fillId="0" borderId="91" xfId="0" applyFont="1" applyFill="1" applyBorder="1" applyAlignment="1">
      <alignment horizontal="center" vertical="center" shrinkToFit="1"/>
    </xf>
    <xf numFmtId="176" fontId="46" fillId="0" borderId="92" xfId="0" applyNumberFormat="1" applyFont="1" applyFill="1" applyBorder="1" applyAlignment="1">
      <alignment horizontal="center" vertical="center" wrapText="1"/>
    </xf>
    <xf numFmtId="176" fontId="27" fillId="0" borderId="93" xfId="0" applyNumberFormat="1" applyFont="1" applyFill="1" applyBorder="1" applyAlignment="1">
      <alignment horizontal="center" vertical="center" wrapText="1"/>
    </xf>
    <xf numFmtId="0" fontId="27" fillId="0" borderId="115" xfId="0" applyFont="1" applyFill="1" applyBorder="1" applyAlignment="1">
      <alignment horizontal="center" vertical="center"/>
    </xf>
    <xf numFmtId="178" fontId="67" fillId="0" borderId="0" xfId="0" applyNumberFormat="1" applyFont="1" applyFill="1" applyAlignment="1">
      <alignment horizontal="right" vertical="center"/>
    </xf>
    <xf numFmtId="176" fontId="46" fillId="0" borderId="69" xfId="0" applyNumberFormat="1" applyFont="1" applyFill="1" applyBorder="1" applyAlignment="1">
      <alignment horizontal="center" vertical="center" wrapText="1"/>
    </xf>
    <xf numFmtId="176" fontId="72" fillId="0" borderId="69" xfId="0" applyNumberFormat="1" applyFont="1" applyFill="1" applyBorder="1" applyAlignment="1">
      <alignment horizontal="center" vertical="center" wrapText="1"/>
    </xf>
    <xf numFmtId="176" fontId="46" fillId="0" borderId="94" xfId="0" applyNumberFormat="1" applyFont="1" applyFill="1" applyBorder="1" applyAlignment="1">
      <alignment horizontal="center" vertical="center" wrapText="1"/>
    </xf>
    <xf numFmtId="176" fontId="27" fillId="0" borderId="94" xfId="0" applyNumberFormat="1" applyFont="1" applyFill="1" applyBorder="1" applyAlignment="1">
      <alignment horizontal="center" vertical="center" wrapText="1"/>
    </xf>
    <xf numFmtId="176" fontId="72" fillId="0" borderId="94" xfId="0" applyNumberFormat="1" applyFont="1" applyFill="1" applyBorder="1" applyAlignment="1">
      <alignment horizontal="center" vertical="center" wrapText="1"/>
    </xf>
    <xf numFmtId="185" fontId="27" fillId="0" borderId="11" xfId="0" applyNumberFormat="1" applyFont="1" applyFill="1" applyBorder="1">
      <alignment vertical="center"/>
    </xf>
    <xf numFmtId="176" fontId="46" fillId="0" borderId="122" xfId="0" applyNumberFormat="1" applyFont="1" applyFill="1" applyBorder="1" applyAlignment="1">
      <alignment horizontal="center" vertical="center" wrapText="1"/>
    </xf>
    <xf numFmtId="176" fontId="27" fillId="0" borderId="115" xfId="0" applyNumberFormat="1" applyFont="1" applyFill="1" applyBorder="1" applyAlignment="1">
      <alignment horizontal="center" vertical="center" wrapText="1"/>
    </xf>
    <xf numFmtId="176" fontId="27" fillId="0" borderId="0" xfId="0" applyNumberFormat="1" applyFont="1" applyFill="1" applyAlignment="1">
      <alignment horizontal="distributed" vertical="center" justifyLastLine="1"/>
    </xf>
    <xf numFmtId="176" fontId="46" fillId="0" borderId="0" xfId="0" applyNumberFormat="1" applyFont="1" applyFill="1" applyAlignment="1">
      <alignment horizontal="distributed" vertical="center" justifyLastLine="1"/>
    </xf>
    <xf numFmtId="176" fontId="46" fillId="0" borderId="0" xfId="0" applyNumberFormat="1" applyFont="1" applyFill="1" applyBorder="1" applyAlignment="1">
      <alignment horizontal="distributed" vertical="center" indent="1"/>
    </xf>
    <xf numFmtId="176" fontId="75" fillId="0" borderId="0" xfId="0" applyNumberFormat="1" applyFont="1" applyFill="1" applyBorder="1" applyAlignment="1">
      <alignment horizontal="center" vertical="center"/>
    </xf>
    <xf numFmtId="176" fontId="46" fillId="0" borderId="0" xfId="0" applyNumberFormat="1" applyFont="1" applyFill="1">
      <alignment vertical="center"/>
    </xf>
    <xf numFmtId="180" fontId="67" fillId="0" borderId="0" xfId="0" applyNumberFormat="1" applyFont="1" applyFill="1" applyBorder="1" applyAlignment="1" applyProtection="1">
      <alignment horizontal="right" vertical="center"/>
      <protection locked="0"/>
    </xf>
    <xf numFmtId="176" fontId="27" fillId="0" borderId="62" xfId="0" applyNumberFormat="1" applyFont="1" applyFill="1" applyBorder="1" applyAlignment="1">
      <alignment horizontal="distributed" vertical="center"/>
    </xf>
    <xf numFmtId="176" fontId="46" fillId="0" borderId="12" xfId="0" applyNumberFormat="1" applyFont="1" applyFill="1" applyBorder="1" applyAlignment="1">
      <alignment horizontal="distributed" vertical="center" wrapText="1"/>
    </xf>
    <xf numFmtId="176" fontId="27" fillId="0" borderId="12" xfId="0" applyNumberFormat="1" applyFont="1" applyFill="1" applyBorder="1" applyAlignment="1">
      <alignment horizontal="distributed" vertical="center"/>
    </xf>
    <xf numFmtId="0" fontId="46" fillId="0" borderId="12" xfId="0" applyFont="1" applyFill="1" applyBorder="1" applyAlignment="1">
      <alignment horizontal="distributed" vertical="center" wrapText="1"/>
    </xf>
    <xf numFmtId="0" fontId="46" fillId="0" borderId="113" xfId="0" applyFont="1" applyFill="1" applyBorder="1" applyAlignment="1">
      <alignment horizontal="distributed" vertical="center" wrapText="1"/>
    </xf>
    <xf numFmtId="0" fontId="27" fillId="0" borderId="12" xfId="0" applyFont="1" applyFill="1" applyBorder="1" applyAlignment="1">
      <alignment horizontal="distributed" vertical="center" justifyLastLine="1"/>
    </xf>
    <xf numFmtId="0" fontId="27" fillId="0" borderId="12" xfId="0" applyFont="1" applyFill="1" applyBorder="1" applyAlignment="1">
      <alignment horizontal="distributed" vertical="center" wrapText="1" justifyLastLine="1"/>
    </xf>
    <xf numFmtId="0" fontId="27" fillId="0" borderId="114" xfId="0" applyFont="1" applyFill="1" applyBorder="1" applyAlignment="1">
      <alignment horizontal="distributed" vertical="center" justifyLastLine="1"/>
    </xf>
    <xf numFmtId="176" fontId="27" fillId="0" borderId="115" xfId="0" applyNumberFormat="1" applyFont="1" applyFill="1" applyBorder="1">
      <alignment vertical="center"/>
    </xf>
    <xf numFmtId="0" fontId="27" fillId="0" borderId="94" xfId="0" applyFont="1" applyFill="1" applyBorder="1">
      <alignment vertical="center"/>
    </xf>
    <xf numFmtId="176" fontId="27" fillId="0" borderId="60" xfId="0" applyNumberFormat="1" applyFont="1" applyFill="1" applyBorder="1">
      <alignment vertical="center"/>
    </xf>
    <xf numFmtId="0" fontId="27" fillId="0" borderId="70" xfId="0" applyFont="1" applyFill="1" applyBorder="1" applyAlignment="1">
      <alignment horizontal="distributed" vertical="center" justifyLastLine="1"/>
    </xf>
    <xf numFmtId="0" fontId="57" fillId="0" borderId="0" xfId="0" applyFont="1" applyFill="1" applyAlignment="1">
      <alignment horizontal="center" vertical="center"/>
    </xf>
    <xf numFmtId="0" fontId="57" fillId="0" borderId="0" xfId="0" applyFont="1" applyFill="1" applyAlignment="1">
      <alignment vertical="center"/>
    </xf>
    <xf numFmtId="0" fontId="57" fillId="0" borderId="0" xfId="0" applyFont="1" applyFill="1">
      <alignment vertical="center"/>
    </xf>
    <xf numFmtId="202" fontId="57" fillId="0" borderId="0" xfId="0" applyNumberFormat="1" applyFont="1" applyFill="1">
      <alignment vertical="center"/>
    </xf>
    <xf numFmtId="176" fontId="27" fillId="0" borderId="11" xfId="0" applyNumberFormat="1" applyFont="1" applyFill="1" applyBorder="1">
      <alignment vertical="center"/>
    </xf>
    <xf numFmtId="176" fontId="27" fillId="0" borderId="11" xfId="0" applyNumberFormat="1" applyFont="1" applyFill="1" applyBorder="1" applyAlignment="1">
      <alignment horizontal="center" vertical="center"/>
    </xf>
    <xf numFmtId="38" fontId="27" fillId="0" borderId="11" xfId="35" applyFont="1" applyFill="1" applyBorder="1">
      <alignment vertical="center"/>
    </xf>
    <xf numFmtId="215" fontId="27" fillId="0" borderId="11" xfId="0" applyNumberFormat="1" applyFont="1" applyFill="1" applyBorder="1">
      <alignment vertical="center"/>
    </xf>
    <xf numFmtId="215" fontId="27" fillId="0" borderId="11" xfId="35" applyNumberFormat="1" applyFont="1" applyFill="1" applyBorder="1">
      <alignment vertical="center"/>
    </xf>
    <xf numFmtId="215" fontId="34" fillId="0" borderId="0" xfId="0" applyNumberFormat="1" applyFont="1" applyFill="1" applyBorder="1">
      <alignment vertical="center"/>
    </xf>
    <xf numFmtId="215" fontId="27" fillId="0" borderId="11" xfId="0" applyNumberFormat="1" applyFont="1" applyFill="1" applyBorder="1" applyAlignment="1">
      <alignment horizontal="center" vertical="center"/>
    </xf>
    <xf numFmtId="215" fontId="27" fillId="0" borderId="60" xfId="0" applyNumberFormat="1" applyFont="1" applyFill="1" applyBorder="1">
      <alignment vertical="center"/>
    </xf>
    <xf numFmtId="215" fontId="27" fillId="0" borderId="50" xfId="35" applyNumberFormat="1" applyFont="1" applyFill="1" applyBorder="1">
      <alignment vertical="center"/>
    </xf>
    <xf numFmtId="215" fontId="27" fillId="0" borderId="62" xfId="0" applyNumberFormat="1" applyFont="1" applyFill="1" applyBorder="1">
      <alignment vertical="center"/>
    </xf>
    <xf numFmtId="215" fontId="27" fillId="0" borderId="12" xfId="0" applyNumberFormat="1" applyFont="1" applyFill="1" applyBorder="1">
      <alignment vertical="center"/>
    </xf>
    <xf numFmtId="215" fontId="27" fillId="0" borderId="12" xfId="35" applyNumberFormat="1" applyFont="1" applyFill="1" applyBorder="1">
      <alignment vertical="center"/>
    </xf>
    <xf numFmtId="215" fontId="27" fillId="0" borderId="53" xfId="35" applyNumberFormat="1" applyFont="1" applyFill="1" applyBorder="1">
      <alignment vertical="center"/>
    </xf>
    <xf numFmtId="214" fontId="28" fillId="0" borderId="41" xfId="0" applyNumberFormat="1" applyFont="1" applyFill="1" applyBorder="1">
      <alignment vertical="center"/>
    </xf>
    <xf numFmtId="214" fontId="28" fillId="0" borderId="37" xfId="0" applyNumberFormat="1" applyFont="1" applyFill="1" applyBorder="1">
      <alignment vertical="center"/>
    </xf>
    <xf numFmtId="216" fontId="27" fillId="0" borderId="11" xfId="0" applyNumberFormat="1" applyFont="1" applyFill="1" applyBorder="1">
      <alignment vertical="center"/>
    </xf>
    <xf numFmtId="216" fontId="27" fillId="0" borderId="12" xfId="0" applyNumberFormat="1" applyFont="1" applyFill="1" applyBorder="1">
      <alignment vertical="center"/>
    </xf>
    <xf numFmtId="176" fontId="27" fillId="0" borderId="11" xfId="0" applyNumberFormat="1" applyFont="1" applyFill="1" applyBorder="1">
      <alignment vertical="center"/>
    </xf>
    <xf numFmtId="178" fontId="27" fillId="0" borderId="0" xfId="0" applyNumberFormat="1" applyFont="1" applyFill="1" applyAlignment="1">
      <alignment vertical="center"/>
    </xf>
    <xf numFmtId="180" fontId="76" fillId="0" borderId="49" xfId="0" applyNumberFormat="1" applyFont="1" applyFill="1" applyBorder="1" applyAlignment="1" applyProtection="1">
      <alignment horizontal="right" vertical="center"/>
      <protection locked="0"/>
    </xf>
    <xf numFmtId="180" fontId="76" fillId="0" borderId="11" xfId="0" applyNumberFormat="1" applyFont="1" applyFill="1" applyBorder="1" applyAlignment="1" applyProtection="1">
      <alignment horizontal="right" vertical="center"/>
      <protection locked="0"/>
    </xf>
    <xf numFmtId="180" fontId="76" fillId="0" borderId="12" xfId="0" applyNumberFormat="1" applyFont="1" applyFill="1" applyBorder="1" applyAlignment="1" applyProtection="1">
      <alignment horizontal="right" vertical="center"/>
      <protection locked="0"/>
    </xf>
    <xf numFmtId="180" fontId="76" fillId="0" borderId="110" xfId="0" applyNumberFormat="1" applyFont="1" applyFill="1" applyBorder="1" applyAlignment="1" applyProtection="1">
      <alignment horizontal="right" vertical="center"/>
      <protection locked="0"/>
    </xf>
    <xf numFmtId="180" fontId="76" fillId="0" borderId="67" xfId="0" applyNumberFormat="1" applyFont="1" applyFill="1" applyBorder="1" applyAlignment="1" applyProtection="1">
      <alignment horizontal="right" vertical="center"/>
      <protection locked="0"/>
    </xf>
    <xf numFmtId="180" fontId="76" fillId="0" borderId="47" xfId="0" applyNumberFormat="1" applyFont="1" applyFill="1" applyBorder="1" applyAlignment="1" applyProtection="1">
      <alignment horizontal="right" vertical="center"/>
      <protection locked="0"/>
    </xf>
    <xf numFmtId="180" fontId="76" fillId="0" borderId="68" xfId="0" applyNumberFormat="1" applyFont="1" applyFill="1" applyBorder="1" applyAlignment="1" applyProtection="1">
      <alignment horizontal="right" vertical="center"/>
      <protection locked="0"/>
    </xf>
    <xf numFmtId="180" fontId="76" fillId="0" borderId="70" xfId="0" applyNumberFormat="1" applyFont="1" applyFill="1" applyBorder="1" applyAlignment="1" applyProtection="1">
      <alignment horizontal="right" vertical="center"/>
      <protection locked="0"/>
    </xf>
    <xf numFmtId="180" fontId="76" fillId="0" borderId="46" xfId="0" applyNumberFormat="1" applyFont="1" applyFill="1" applyBorder="1" applyAlignment="1" applyProtection="1">
      <alignment horizontal="right" vertical="center"/>
      <protection locked="0"/>
    </xf>
    <xf numFmtId="176" fontId="0" fillId="0" borderId="0" xfId="0" applyNumberFormat="1" applyFont="1" applyFill="1" applyAlignment="1">
      <alignment horizontal="center" vertical="center"/>
    </xf>
    <xf numFmtId="176" fontId="27" fillId="0" borderId="112" xfId="0" applyNumberFormat="1" applyFont="1" applyFill="1" applyBorder="1">
      <alignment vertical="center"/>
    </xf>
    <xf numFmtId="176" fontId="27" fillId="0" borderId="44" xfId="0" applyNumberFormat="1" applyFont="1" applyFill="1" applyBorder="1">
      <alignment vertical="center"/>
    </xf>
    <xf numFmtId="176" fontId="27" fillId="0" borderId="45" xfId="0" applyNumberFormat="1" applyFont="1" applyFill="1" applyBorder="1">
      <alignment vertical="center"/>
    </xf>
    <xf numFmtId="176" fontId="27" fillId="0" borderId="188" xfId="0" applyNumberFormat="1" applyFont="1" applyFill="1" applyBorder="1">
      <alignment vertical="center"/>
    </xf>
    <xf numFmtId="179" fontId="28" fillId="0" borderId="99" xfId="0" applyNumberFormat="1" applyFont="1" applyFill="1" applyBorder="1">
      <alignment vertical="center"/>
    </xf>
    <xf numFmtId="176" fontId="0" fillId="0" borderId="0" xfId="35" applyNumberFormat="1" applyFont="1" applyFill="1" applyBorder="1">
      <alignment vertical="center"/>
    </xf>
    <xf numFmtId="178" fontId="45" fillId="0" borderId="0" xfId="0" applyNumberFormat="1" applyFont="1" applyFill="1" applyBorder="1" applyAlignment="1">
      <alignment horizontal="center" vertical="center"/>
    </xf>
    <xf numFmtId="194" fontId="45" fillId="0" borderId="0" xfId="0" applyNumberFormat="1" applyFont="1" applyFill="1" applyBorder="1" applyAlignment="1">
      <alignment horizontal="center" vertical="center"/>
    </xf>
    <xf numFmtId="190" fontId="0" fillId="0" borderId="25" xfId="35" applyNumberFormat="1" applyFont="1" applyFill="1" applyBorder="1" applyAlignment="1">
      <alignment horizontal="center" vertical="center"/>
    </xf>
    <xf numFmtId="176" fontId="0" fillId="0" borderId="25" xfId="35" applyNumberFormat="1" applyFont="1" applyFill="1" applyBorder="1" applyAlignment="1">
      <alignment horizontal="center" vertical="center"/>
    </xf>
    <xf numFmtId="176" fontId="0" fillId="0" borderId="0" xfId="35" applyNumberFormat="1" applyFont="1" applyFill="1" applyAlignment="1">
      <alignment horizontal="center" vertical="center"/>
    </xf>
    <xf numFmtId="176" fontId="27" fillId="0" borderId="11" xfId="0" applyNumberFormat="1" applyFont="1" applyFill="1" applyBorder="1">
      <alignment vertical="center"/>
    </xf>
    <xf numFmtId="176" fontId="78" fillId="0" borderId="0" xfId="0" applyNumberFormat="1" applyFont="1" applyFill="1" applyBorder="1" applyAlignment="1">
      <alignment horizontal="distributed" vertical="center" indent="3"/>
    </xf>
    <xf numFmtId="176" fontId="78" fillId="0" borderId="0" xfId="0" applyNumberFormat="1" applyFont="1" applyFill="1" applyBorder="1" applyAlignment="1">
      <alignment horizontal="right" vertical="center" indent="1"/>
    </xf>
    <xf numFmtId="176" fontId="77" fillId="0" borderId="83" xfId="0" applyNumberFormat="1" applyFont="1" applyFill="1" applyBorder="1">
      <alignment vertical="center"/>
    </xf>
    <xf numFmtId="176" fontId="77" fillId="0" borderId="133" xfId="0" applyNumberFormat="1" applyFont="1" applyFill="1" applyBorder="1">
      <alignment vertical="center"/>
    </xf>
    <xf numFmtId="0" fontId="77" fillId="0" borderId="0" xfId="0" applyFont="1" applyFill="1" applyAlignment="1">
      <alignment horizontal="center" vertical="center"/>
    </xf>
    <xf numFmtId="176" fontId="77" fillId="0" borderId="12" xfId="0" applyNumberFormat="1" applyFont="1" applyFill="1" applyBorder="1">
      <alignment vertical="center"/>
    </xf>
    <xf numFmtId="0" fontId="56" fillId="0" borderId="0" xfId="0" applyFont="1" applyFill="1">
      <alignment vertical="center"/>
    </xf>
    <xf numFmtId="0" fontId="79" fillId="0" borderId="0" xfId="0" applyFont="1" applyFill="1" applyBorder="1" applyAlignment="1">
      <alignment vertical="center"/>
    </xf>
    <xf numFmtId="0" fontId="80" fillId="0" borderId="12" xfId="0" applyFont="1" applyFill="1" applyBorder="1" applyAlignment="1">
      <alignment horizontal="distributed" vertical="center"/>
    </xf>
    <xf numFmtId="0" fontId="46" fillId="0" borderId="114" xfId="0" applyFont="1" applyFill="1" applyBorder="1" applyAlignment="1">
      <alignment horizontal="distributed" vertical="center" wrapText="1"/>
    </xf>
    <xf numFmtId="176" fontId="27" fillId="0" borderId="11" xfId="0" applyNumberFormat="1" applyFont="1" applyFill="1" applyBorder="1">
      <alignment vertical="center"/>
    </xf>
    <xf numFmtId="0" fontId="57" fillId="28" borderId="0" xfId="0" applyFont="1" applyFill="1">
      <alignment vertical="center"/>
    </xf>
    <xf numFmtId="176" fontId="57" fillId="28" borderId="0" xfId="0" applyNumberFormat="1" applyFont="1" applyFill="1">
      <alignment vertical="center"/>
    </xf>
    <xf numFmtId="0" fontId="57" fillId="28" borderId="0" xfId="0" applyFont="1" applyFill="1" applyProtection="1">
      <alignment vertical="center"/>
      <protection locked="0"/>
    </xf>
    <xf numFmtId="176" fontId="76" fillId="0" borderId="0" xfId="0" applyNumberFormat="1" applyFont="1" applyFill="1">
      <alignment vertical="center"/>
    </xf>
    <xf numFmtId="176" fontId="81" fillId="0" borderId="0" xfId="0" applyNumberFormat="1" applyFont="1" applyFill="1" applyAlignment="1">
      <alignment horizontal="right" vertical="center"/>
    </xf>
    <xf numFmtId="0" fontId="76" fillId="0" borderId="0" xfId="0" applyFont="1" applyFill="1">
      <alignment vertical="center"/>
    </xf>
    <xf numFmtId="176" fontId="42" fillId="0" borderId="0" xfId="0" applyNumberFormat="1" applyFont="1" applyFill="1">
      <alignment vertical="center"/>
    </xf>
    <xf numFmtId="176" fontId="69" fillId="0" borderId="11" xfId="0" applyNumberFormat="1" applyFont="1" applyFill="1" applyBorder="1">
      <alignment vertical="center"/>
    </xf>
    <xf numFmtId="176" fontId="69" fillId="0" borderId="11" xfId="0" applyNumberFormat="1" applyFont="1" applyFill="1" applyBorder="1" applyAlignment="1">
      <alignment horizontal="distributed" vertical="center"/>
    </xf>
    <xf numFmtId="176" fontId="69" fillId="0" borderId="61" xfId="0" applyNumberFormat="1" applyFont="1" applyFill="1" applyBorder="1">
      <alignment vertical="center"/>
    </xf>
    <xf numFmtId="176" fontId="69" fillId="0" borderId="99" xfId="0" applyNumberFormat="1" applyFont="1" applyFill="1" applyBorder="1">
      <alignment vertical="center"/>
    </xf>
    <xf numFmtId="176" fontId="69" fillId="0" borderId="98" xfId="0" applyNumberFormat="1" applyFont="1" applyFill="1" applyBorder="1">
      <alignment vertical="center"/>
    </xf>
    <xf numFmtId="176" fontId="69" fillId="0" borderId="129" xfId="0" applyNumberFormat="1" applyFont="1" applyFill="1" applyBorder="1">
      <alignment vertical="center"/>
    </xf>
    <xf numFmtId="176" fontId="82" fillId="0" borderId="11" xfId="0" applyNumberFormat="1" applyFont="1" applyFill="1" applyBorder="1" applyAlignment="1">
      <alignment horizontal="distributed" vertical="center" wrapText="1"/>
    </xf>
    <xf numFmtId="0" fontId="82" fillId="0" borderId="11" xfId="0" applyFont="1" applyFill="1" applyBorder="1" applyAlignment="1">
      <alignment horizontal="distributed" vertical="center" wrapText="1"/>
    </xf>
    <xf numFmtId="0" fontId="69" fillId="0" borderId="11" xfId="0" applyFont="1" applyFill="1" applyBorder="1" applyAlignment="1">
      <alignment horizontal="distributed" vertical="center"/>
    </xf>
    <xf numFmtId="38" fontId="69" fillId="0" borderId="11" xfId="35" applyFont="1" applyFill="1" applyBorder="1">
      <alignment vertical="center"/>
    </xf>
    <xf numFmtId="176" fontId="69" fillId="0" borderId="11" xfId="0" applyNumberFormat="1" applyFont="1" applyFill="1" applyBorder="1" applyAlignment="1">
      <alignment horizontal="right" vertical="center"/>
    </xf>
    <xf numFmtId="180" fontId="76" fillId="0" borderId="48" xfId="0" applyNumberFormat="1" applyFont="1" applyFill="1" applyBorder="1" applyAlignment="1" applyProtection="1">
      <alignment horizontal="right" vertical="center"/>
      <protection locked="0"/>
    </xf>
    <xf numFmtId="180" fontId="76" fillId="0" borderId="50" xfId="0" applyNumberFormat="1" applyFont="1" applyFill="1" applyBorder="1" applyAlignment="1" applyProtection="1">
      <alignment horizontal="right" vertical="center"/>
      <protection locked="0"/>
    </xf>
    <xf numFmtId="176" fontId="76" fillId="0" borderId="26" xfId="0" applyNumberFormat="1" applyFont="1" applyFill="1" applyBorder="1" applyAlignment="1" applyProtection="1">
      <alignment horizontal="right" vertical="center"/>
      <protection locked="0"/>
    </xf>
    <xf numFmtId="176" fontId="76" fillId="0" borderId="94" xfId="0" applyNumberFormat="1" applyFont="1" applyFill="1" applyBorder="1" applyAlignment="1" applyProtection="1">
      <alignment horizontal="right" vertical="center"/>
      <protection locked="0"/>
    </xf>
    <xf numFmtId="176" fontId="76" fillId="0" borderId="68" xfId="0" applyNumberFormat="1" applyFont="1" applyFill="1" applyBorder="1" applyAlignment="1" applyProtection="1">
      <alignment horizontal="right" vertical="center"/>
      <protection locked="0"/>
    </xf>
    <xf numFmtId="176" fontId="76" fillId="0" borderId="11" xfId="0" applyNumberFormat="1" applyFont="1" applyFill="1" applyBorder="1" applyAlignment="1" applyProtection="1">
      <alignment horizontal="right" vertical="center"/>
      <protection locked="0"/>
    </xf>
    <xf numFmtId="0" fontId="76" fillId="0" borderId="104" xfId="0" applyFont="1" applyFill="1" applyBorder="1" applyAlignment="1" applyProtection="1">
      <alignment horizontal="center" vertical="center"/>
      <protection locked="0"/>
    </xf>
    <xf numFmtId="180" fontId="76" fillId="0" borderId="105" xfId="0" applyNumberFormat="1" applyFont="1" applyFill="1" applyBorder="1" applyAlignment="1" applyProtection="1">
      <alignment horizontal="right" vertical="center"/>
      <protection locked="0"/>
    </xf>
    <xf numFmtId="180" fontId="76" fillId="0" borderId="10" xfId="0" applyNumberFormat="1" applyFont="1" applyFill="1" applyBorder="1" applyAlignment="1" applyProtection="1">
      <alignment horizontal="right" vertical="center"/>
      <protection locked="0"/>
    </xf>
    <xf numFmtId="180" fontId="76" fillId="0" borderId="10" xfId="0" applyNumberFormat="1" applyFont="1" applyFill="1" applyBorder="1" applyAlignment="1" applyProtection="1">
      <alignment horizontal="right" vertical="center"/>
    </xf>
    <xf numFmtId="180" fontId="76" fillId="0" borderId="106" xfId="0" applyNumberFormat="1" applyFont="1" applyFill="1" applyBorder="1" applyAlignment="1" applyProtection="1">
      <alignment horizontal="right" vertical="center"/>
      <protection locked="0"/>
    </xf>
    <xf numFmtId="0" fontId="76" fillId="0" borderId="107" xfId="0" applyFont="1" applyFill="1" applyBorder="1" applyAlignment="1" applyProtection="1">
      <alignment horizontal="center" vertical="center"/>
      <protection locked="0"/>
    </xf>
    <xf numFmtId="180" fontId="76" fillId="0" borderId="11" xfId="0" applyNumberFormat="1" applyFont="1" applyFill="1" applyBorder="1" applyAlignment="1" applyProtection="1">
      <alignment horizontal="right" vertical="center"/>
    </xf>
    <xf numFmtId="180" fontId="76" fillId="0" borderId="58" xfId="0" applyNumberFormat="1" applyFont="1" applyFill="1" applyBorder="1" applyAlignment="1" applyProtection="1">
      <alignment horizontal="right" vertical="center"/>
      <protection locked="0"/>
    </xf>
    <xf numFmtId="180" fontId="76" fillId="0" borderId="60" xfId="0" applyNumberFormat="1" applyFont="1" applyFill="1" applyBorder="1" applyAlignment="1" applyProtection="1">
      <alignment horizontal="right" vertical="center"/>
      <protection locked="0"/>
    </xf>
    <xf numFmtId="38" fontId="69" fillId="0" borderId="66" xfId="35" applyFont="1" applyFill="1" applyBorder="1">
      <alignment vertical="center"/>
    </xf>
    <xf numFmtId="38" fontId="69" fillId="0" borderId="64" xfId="35" applyFont="1" applyFill="1" applyBorder="1">
      <alignment vertical="center"/>
    </xf>
    <xf numFmtId="38" fontId="69" fillId="0" borderId="65" xfId="35" applyFont="1" applyFill="1" applyBorder="1">
      <alignment vertical="center"/>
    </xf>
    <xf numFmtId="176" fontId="69" fillId="0" borderId="64" xfId="0" applyNumberFormat="1" applyFont="1" applyFill="1" applyBorder="1">
      <alignment vertical="center"/>
    </xf>
    <xf numFmtId="176" fontId="69" fillId="0" borderId="66" xfId="0" applyNumberFormat="1" applyFont="1" applyFill="1" applyBorder="1">
      <alignment vertical="center"/>
    </xf>
    <xf numFmtId="196" fontId="69" fillId="0" borderId="66" xfId="0" applyNumberFormat="1" applyFont="1" applyFill="1" applyBorder="1" applyAlignment="1">
      <alignment horizontal="center" vertical="center"/>
    </xf>
    <xf numFmtId="196" fontId="69" fillId="0" borderId="64" xfId="0" applyNumberFormat="1" applyFont="1" applyFill="1" applyBorder="1" applyAlignment="1">
      <alignment horizontal="center" vertical="center"/>
    </xf>
    <xf numFmtId="0" fontId="69" fillId="0" borderId="11" xfId="0" applyFont="1" applyFill="1" applyBorder="1" applyAlignment="1">
      <alignment horizontal="center" vertical="center"/>
    </xf>
    <xf numFmtId="176" fontId="69" fillId="0" borderId="134" xfId="0" applyNumberFormat="1" applyFont="1" applyFill="1" applyBorder="1">
      <alignment vertical="center"/>
    </xf>
    <xf numFmtId="176" fontId="69" fillId="0" borderId="135" xfId="0" applyNumberFormat="1" applyFont="1" applyFill="1" applyBorder="1">
      <alignment vertical="center"/>
    </xf>
    <xf numFmtId="176" fontId="69" fillId="0" borderId="62" xfId="0" applyNumberFormat="1" applyFont="1" applyFill="1" applyBorder="1">
      <alignment vertical="center"/>
    </xf>
    <xf numFmtId="176" fontId="69" fillId="0" borderId="12" xfId="0" applyNumberFormat="1" applyFont="1" applyFill="1" applyBorder="1">
      <alignment vertical="center"/>
    </xf>
    <xf numFmtId="176" fontId="83" fillId="0" borderId="0" xfId="0" applyNumberFormat="1" applyFont="1" applyFill="1">
      <alignment vertical="center"/>
    </xf>
    <xf numFmtId="176" fontId="69" fillId="0" borderId="53" xfId="0" applyNumberFormat="1" applyFont="1" applyFill="1" applyBorder="1">
      <alignment vertical="center"/>
    </xf>
    <xf numFmtId="176" fontId="82" fillId="0" borderId="0" xfId="0" applyNumberFormat="1" applyFont="1" applyFill="1" applyBorder="1" applyAlignment="1">
      <alignment horizontal="distributed" vertical="center" indent="1"/>
    </xf>
    <xf numFmtId="176" fontId="84" fillId="0" borderId="0" xfId="0" applyNumberFormat="1" applyFont="1" applyFill="1" applyBorder="1" applyAlignment="1">
      <alignment horizontal="center" vertical="center"/>
    </xf>
    <xf numFmtId="176" fontId="69" fillId="0" borderId="63" xfId="0" applyNumberFormat="1" applyFont="1" applyFill="1" applyBorder="1">
      <alignment vertical="center"/>
    </xf>
    <xf numFmtId="0" fontId="69" fillId="0" borderId="11" xfId="0" applyFont="1" applyFill="1" applyBorder="1">
      <alignment vertical="center"/>
    </xf>
    <xf numFmtId="215" fontId="69" fillId="0" borderId="11" xfId="0" applyNumberFormat="1" applyFont="1" applyFill="1" applyBorder="1">
      <alignment vertical="center"/>
    </xf>
    <xf numFmtId="38" fontId="69" fillId="0" borderId="94" xfId="35" applyFont="1" applyFill="1" applyBorder="1">
      <alignment vertical="center"/>
    </xf>
    <xf numFmtId="215" fontId="69" fillId="0" borderId="11" xfId="35" applyNumberFormat="1" applyFont="1" applyFill="1" applyBorder="1">
      <alignment vertical="center"/>
    </xf>
    <xf numFmtId="215" fontId="69" fillId="0" borderId="12" xfId="35" applyNumberFormat="1" applyFont="1" applyFill="1" applyBorder="1">
      <alignment vertical="center"/>
    </xf>
    <xf numFmtId="176" fontId="85" fillId="0" borderId="92" xfId="0" applyNumberFormat="1" applyFont="1" applyFill="1" applyBorder="1" applyAlignment="1">
      <alignment horizontal="center" vertical="center" wrapText="1"/>
    </xf>
    <xf numFmtId="176" fontId="28" fillId="0" borderId="41" xfId="0" applyNumberFormat="1" applyFont="1" applyFill="1" applyBorder="1" applyAlignment="1">
      <alignment vertical="center"/>
    </xf>
    <xf numFmtId="176" fontId="28" fillId="0" borderId="38" xfId="0" applyNumberFormat="1" applyFont="1" applyFill="1" applyBorder="1">
      <alignment vertical="center"/>
    </xf>
    <xf numFmtId="176" fontId="27" fillId="0" borderId="11" xfId="0" applyNumberFormat="1" applyFont="1" applyFill="1" applyBorder="1">
      <alignment vertical="center"/>
    </xf>
    <xf numFmtId="0" fontId="32" fillId="0" borderId="104" xfId="0" applyFont="1" applyFill="1" applyBorder="1" applyAlignment="1" applyProtection="1">
      <alignment horizontal="center" vertical="center"/>
    </xf>
    <xf numFmtId="0" fontId="32" fillId="0" borderId="191" xfId="0" applyFont="1" applyFill="1" applyBorder="1" applyAlignment="1" applyProtection="1">
      <alignment horizontal="center" vertical="center"/>
    </xf>
    <xf numFmtId="181" fontId="26" fillId="0" borderId="41" xfId="0" applyNumberFormat="1" applyFont="1" applyFill="1" applyBorder="1" applyAlignment="1" applyProtection="1">
      <alignment horizontal="right" vertical="center"/>
    </xf>
    <xf numFmtId="176" fontId="76" fillId="0" borderId="0" xfId="0" applyNumberFormat="1" applyFont="1" applyFill="1" applyBorder="1" applyAlignment="1">
      <alignment horizontal="right" vertical="center" indent="1"/>
    </xf>
    <xf numFmtId="38" fontId="27" fillId="0" borderId="66" xfId="35" applyFont="1" applyFill="1" applyBorder="1">
      <alignment vertical="center"/>
    </xf>
    <xf numFmtId="185" fontId="27" fillId="0" borderId="66" xfId="0" applyNumberFormat="1" applyFont="1" applyFill="1" applyBorder="1">
      <alignment vertical="center"/>
    </xf>
    <xf numFmtId="38" fontId="27" fillId="0" borderId="64" xfId="35" applyFont="1" applyFill="1" applyBorder="1">
      <alignment vertical="center"/>
    </xf>
    <xf numFmtId="185" fontId="27" fillId="0" borderId="64" xfId="0" applyNumberFormat="1" applyFont="1" applyFill="1" applyBorder="1">
      <alignment vertical="center"/>
    </xf>
    <xf numFmtId="38" fontId="27" fillId="0" borderId="65" xfId="35" applyFont="1" applyFill="1" applyBorder="1">
      <alignment vertical="center"/>
    </xf>
    <xf numFmtId="185" fontId="27" fillId="0" borderId="65" xfId="0" applyNumberFormat="1" applyFont="1" applyFill="1" applyBorder="1">
      <alignment vertical="center"/>
    </xf>
    <xf numFmtId="176" fontId="69" fillId="0" borderId="112" xfId="0" applyNumberFormat="1" applyFont="1" applyFill="1" applyBorder="1">
      <alignment vertical="center"/>
    </xf>
    <xf numFmtId="0" fontId="24" fillId="0" borderId="0" xfId="0" applyFont="1" applyFill="1" applyAlignment="1">
      <alignment vertical="center"/>
    </xf>
    <xf numFmtId="0" fontId="57" fillId="0" borderId="0" xfId="0" applyFont="1" applyFill="1" applyAlignment="1">
      <alignment horizontal="right" vertical="center"/>
    </xf>
    <xf numFmtId="176" fontId="57" fillId="0" borderId="0" xfId="0" applyNumberFormat="1" applyFont="1" applyFill="1" applyBorder="1">
      <alignment vertical="center"/>
    </xf>
    <xf numFmtId="38" fontId="57" fillId="0" borderId="0" xfId="35" applyFont="1" applyFill="1">
      <alignment vertical="center"/>
    </xf>
    <xf numFmtId="180" fontId="32" fillId="0" borderId="0" xfId="0" applyNumberFormat="1" applyFont="1" applyFill="1" applyBorder="1" applyAlignment="1" applyProtection="1">
      <alignment horizontal="distributed" vertical="center" wrapText="1"/>
      <protection locked="0"/>
    </xf>
    <xf numFmtId="0" fontId="42" fillId="0" borderId="0" xfId="0" applyFont="1" applyFill="1" applyAlignment="1">
      <alignment horizontal="center" vertical="center"/>
    </xf>
    <xf numFmtId="0" fontId="42" fillId="0" borderId="0" xfId="0" applyFont="1" applyFill="1">
      <alignment vertical="center"/>
    </xf>
    <xf numFmtId="0" fontId="42" fillId="0" borderId="37" xfId="0" applyFont="1" applyFill="1" applyBorder="1" applyAlignment="1">
      <alignment horizontal="distributed" vertical="center" justifyLastLine="1"/>
    </xf>
    <xf numFmtId="176" fontId="42" fillId="0" borderId="68" xfId="0" applyNumberFormat="1" applyFont="1" applyFill="1" applyBorder="1" applyAlignment="1">
      <alignment vertical="center"/>
    </xf>
    <xf numFmtId="176" fontId="42" fillId="0" borderId="11" xfId="0" applyNumberFormat="1" applyFont="1" applyFill="1" applyBorder="1" applyAlignment="1">
      <alignment vertical="center"/>
    </xf>
    <xf numFmtId="176" fontId="42" fillId="0" borderId="61" xfId="0" applyNumberFormat="1" applyFont="1" applyFill="1" applyBorder="1" applyAlignment="1">
      <alignment vertical="center"/>
    </xf>
    <xf numFmtId="179" fontId="23" fillId="0" borderId="37" xfId="0" applyNumberFormat="1" applyFont="1" applyFill="1" applyBorder="1">
      <alignment vertical="center"/>
    </xf>
    <xf numFmtId="176" fontId="42" fillId="0" borderId="23" xfId="0" applyNumberFormat="1" applyFont="1" applyFill="1" applyBorder="1" applyAlignment="1">
      <alignment vertical="center"/>
    </xf>
    <xf numFmtId="176" fontId="42" fillId="0" borderId="69" xfId="0" applyNumberFormat="1" applyFont="1" applyFill="1" applyBorder="1" applyAlignment="1">
      <alignment vertical="center"/>
    </xf>
    <xf numFmtId="176" fontId="42" fillId="0" borderId="21" xfId="0" applyNumberFormat="1" applyFont="1" applyFill="1" applyBorder="1" applyAlignment="1">
      <alignment vertical="center"/>
    </xf>
    <xf numFmtId="176" fontId="42" fillId="0" borderId="22" xfId="0" applyNumberFormat="1" applyFont="1" applyFill="1" applyBorder="1" applyAlignment="1">
      <alignment vertical="center"/>
    </xf>
    <xf numFmtId="179" fontId="23" fillId="0" borderId="121" xfId="0" applyNumberFormat="1" applyFont="1" applyFill="1" applyBorder="1">
      <alignment vertical="center"/>
    </xf>
    <xf numFmtId="176" fontId="42" fillId="0" borderId="182" xfId="0" applyNumberFormat="1" applyFont="1" applyFill="1" applyBorder="1" applyAlignment="1">
      <alignment vertical="center"/>
    </xf>
    <xf numFmtId="0" fontId="42" fillId="0" borderId="121" xfId="0" applyFont="1" applyFill="1" applyBorder="1" applyAlignment="1">
      <alignment horizontal="distributed" vertical="center" justifyLastLine="1"/>
    </xf>
    <xf numFmtId="176" fontId="42" fillId="0" borderId="183" xfId="0" applyNumberFormat="1" applyFont="1" applyFill="1" applyBorder="1" applyAlignment="1">
      <alignment vertical="center"/>
    </xf>
    <xf numFmtId="0" fontId="42" fillId="0" borderId="0" xfId="0" applyFont="1" applyFill="1" applyAlignment="1">
      <alignment horizontal="right" vertical="center"/>
    </xf>
    <xf numFmtId="0" fontId="42" fillId="0" borderId="0" xfId="0" applyFont="1" applyFill="1" applyAlignment="1">
      <alignment vertical="center"/>
    </xf>
    <xf numFmtId="0" fontId="42" fillId="0" borderId="40" xfId="0" applyFont="1" applyFill="1" applyBorder="1">
      <alignment vertical="center"/>
    </xf>
    <xf numFmtId="0" fontId="46" fillId="0" borderId="67" xfId="0" applyFont="1" applyFill="1" applyBorder="1" applyAlignment="1">
      <alignment horizontal="distributed" vertical="center" justifyLastLine="1"/>
    </xf>
    <xf numFmtId="0" fontId="42" fillId="0" borderId="47" xfId="0" applyFont="1" applyFill="1" applyBorder="1" applyAlignment="1">
      <alignment horizontal="distributed" vertical="center" wrapText="1" justifyLastLine="1"/>
    </xf>
    <xf numFmtId="0" fontId="42" fillId="0" borderId="47" xfId="0" applyFont="1" applyFill="1" applyBorder="1" applyAlignment="1">
      <alignment horizontal="distributed" vertical="center" justifyLastLine="1"/>
    </xf>
    <xf numFmtId="0" fontId="42" fillId="0" borderId="48" xfId="0" applyFont="1" applyFill="1" applyBorder="1" applyAlignment="1">
      <alignment horizontal="distributed" vertical="center" justifyLastLine="1"/>
    </xf>
    <xf numFmtId="176" fontId="42" fillId="0" borderId="11" xfId="0" applyNumberFormat="1" applyFont="1" applyFill="1" applyBorder="1">
      <alignment vertical="center"/>
    </xf>
    <xf numFmtId="176" fontId="42" fillId="0" borderId="50" xfId="0" applyNumberFormat="1" applyFont="1" applyFill="1" applyBorder="1">
      <alignment vertical="center"/>
    </xf>
    <xf numFmtId="176" fontId="42" fillId="0" borderId="69" xfId="0" applyNumberFormat="1" applyFont="1" applyFill="1" applyBorder="1">
      <alignment vertical="center"/>
    </xf>
    <xf numFmtId="176" fontId="42" fillId="0" borderId="72" xfId="0" applyNumberFormat="1" applyFont="1" applyFill="1" applyBorder="1">
      <alignment vertical="center"/>
    </xf>
    <xf numFmtId="176" fontId="42" fillId="0" borderId="23" xfId="0" applyNumberFormat="1" applyFont="1" applyFill="1" applyBorder="1">
      <alignment vertical="center"/>
    </xf>
    <xf numFmtId="0" fontId="42" fillId="0" borderId="41" xfId="0" applyFont="1" applyFill="1" applyBorder="1" applyAlignment="1">
      <alignment horizontal="distributed" vertical="center" justifyLastLine="1"/>
    </xf>
    <xf numFmtId="176" fontId="42" fillId="0" borderId="70" xfId="0" applyNumberFormat="1" applyFont="1" applyFill="1" applyBorder="1" applyAlignment="1">
      <alignment vertical="center"/>
    </xf>
    <xf numFmtId="0" fontId="42" fillId="0" borderId="67" xfId="0" applyFont="1" applyFill="1" applyBorder="1" applyAlignment="1">
      <alignment horizontal="distributed" vertical="center" justifyLastLine="1"/>
    </xf>
    <xf numFmtId="0" fontId="42" fillId="0" borderId="59" xfId="0" applyFont="1" applyFill="1" applyBorder="1" applyAlignment="1">
      <alignment horizontal="distributed" vertical="center" wrapText="1" justifyLastLine="1"/>
    </xf>
    <xf numFmtId="0" fontId="42" fillId="0" borderId="40" xfId="0" applyFont="1" applyFill="1" applyBorder="1" applyAlignment="1">
      <alignment horizontal="distributed" vertical="center"/>
    </xf>
    <xf numFmtId="176" fontId="42" fillId="0" borderId="31" xfId="0" applyNumberFormat="1" applyFont="1" applyFill="1" applyBorder="1" applyAlignment="1">
      <alignment vertical="center"/>
    </xf>
    <xf numFmtId="0" fontId="42" fillId="0" borderId="0" xfId="0" applyFont="1" applyFill="1" applyBorder="1" applyAlignment="1">
      <alignment horizontal="distributed" vertical="center" justifyLastLine="1"/>
    </xf>
    <xf numFmtId="0" fontId="42" fillId="0" borderId="0" xfId="0" applyFont="1" applyFill="1" applyBorder="1" applyAlignment="1">
      <alignment horizontal="distributed" vertical="center" wrapText="1" justifyLastLine="1"/>
    </xf>
    <xf numFmtId="176" fontId="42" fillId="0" borderId="37" xfId="0" applyNumberFormat="1" applyFont="1" applyFill="1" applyBorder="1" applyAlignment="1">
      <alignment vertical="center"/>
    </xf>
    <xf numFmtId="176" fontId="42" fillId="0" borderId="0" xfId="0" applyNumberFormat="1" applyFont="1" applyFill="1" applyBorder="1">
      <alignment vertical="center"/>
    </xf>
    <xf numFmtId="176" fontId="42" fillId="0" borderId="0" xfId="0" applyNumberFormat="1" applyFont="1" applyFill="1" applyBorder="1" applyAlignment="1">
      <alignment vertical="center" wrapText="1"/>
    </xf>
    <xf numFmtId="176" fontId="42" fillId="0" borderId="121" xfId="0" applyNumberFormat="1" applyFont="1" applyFill="1" applyBorder="1" applyAlignment="1">
      <alignment vertical="center"/>
    </xf>
    <xf numFmtId="176" fontId="42" fillId="0" borderId="0" xfId="0" applyNumberFormat="1" applyFont="1" applyFill="1" applyBorder="1" applyAlignment="1">
      <alignment vertical="center"/>
    </xf>
    <xf numFmtId="176" fontId="42" fillId="0" borderId="189" xfId="0" applyNumberFormat="1" applyFont="1" applyFill="1" applyBorder="1" applyAlignment="1">
      <alignment vertical="center"/>
    </xf>
    <xf numFmtId="176" fontId="42" fillId="0" borderId="71" xfId="0" applyNumberFormat="1" applyFont="1" applyFill="1" applyBorder="1" applyAlignment="1">
      <alignment vertical="center"/>
    </xf>
    <xf numFmtId="0" fontId="42" fillId="0" borderId="40" xfId="0" applyFont="1" applyFill="1" applyBorder="1">
      <alignment vertical="center"/>
    </xf>
    <xf numFmtId="0" fontId="42" fillId="0" borderId="67" xfId="0" applyFont="1" applyFill="1" applyBorder="1" applyAlignment="1">
      <alignment horizontal="distributed" vertical="center" justifyLastLine="1"/>
    </xf>
    <xf numFmtId="0" fontId="42" fillId="0" borderId="47" xfId="0" applyFont="1" applyFill="1" applyBorder="1" applyAlignment="1">
      <alignment horizontal="distributed" vertical="center" justifyLastLine="1"/>
    </xf>
    <xf numFmtId="0" fontId="42" fillId="0" borderId="0" xfId="0" applyFont="1" applyFill="1" applyAlignment="1">
      <alignment horizontal="center" vertical="center" shrinkToFit="1"/>
    </xf>
    <xf numFmtId="0" fontId="42" fillId="0" borderId="68" xfId="0" applyFont="1" applyFill="1" applyBorder="1" applyAlignment="1">
      <alignment horizontal="center" vertical="center" shrinkToFit="1"/>
    </xf>
    <xf numFmtId="0" fontId="42" fillId="0" borderId="11" xfId="0" applyFont="1" applyFill="1" applyBorder="1" applyAlignment="1">
      <alignment horizontal="center" vertical="center" shrinkToFit="1"/>
    </xf>
    <xf numFmtId="0" fontId="42" fillId="0" borderId="50" xfId="0" applyFont="1" applyFill="1" applyBorder="1" applyAlignment="1">
      <alignment horizontal="center" vertical="center" shrinkToFit="1"/>
    </xf>
    <xf numFmtId="176" fontId="42" fillId="0" borderId="183" xfId="0" applyNumberFormat="1" applyFont="1" applyFill="1" applyBorder="1">
      <alignment vertical="center"/>
    </xf>
    <xf numFmtId="176" fontId="42" fillId="0" borderId="118" xfId="0" applyNumberFormat="1" applyFont="1" applyFill="1" applyBorder="1">
      <alignment vertical="center"/>
    </xf>
    <xf numFmtId="176" fontId="42" fillId="0" borderId="182" xfId="0" applyNumberFormat="1" applyFont="1" applyFill="1" applyBorder="1">
      <alignment vertical="center"/>
    </xf>
    <xf numFmtId="176" fontId="42" fillId="0" borderId="53" xfId="0" applyNumberFormat="1" applyFont="1" applyFill="1" applyBorder="1" applyAlignment="1">
      <alignment vertical="center"/>
    </xf>
    <xf numFmtId="0" fontId="42" fillId="0" borderId="67" xfId="0" applyFont="1" applyFill="1" applyBorder="1" applyAlignment="1">
      <alignment horizontal="center" vertical="center"/>
    </xf>
    <xf numFmtId="0" fontId="42" fillId="0" borderId="47" xfId="0" applyFont="1" applyFill="1" applyBorder="1" applyAlignment="1">
      <alignment horizontal="center" vertical="center" shrinkToFit="1"/>
    </xf>
    <xf numFmtId="176" fontId="42" fillId="0" borderId="68" xfId="0" applyNumberFormat="1" applyFont="1" applyFill="1" applyBorder="1">
      <alignment vertical="center"/>
    </xf>
    <xf numFmtId="176" fontId="42" fillId="28" borderId="70" xfId="0" applyNumberFormat="1" applyFont="1" applyFill="1" applyBorder="1" applyAlignment="1">
      <alignment vertical="center"/>
    </xf>
    <xf numFmtId="179" fontId="23" fillId="0" borderId="41" xfId="0" applyNumberFormat="1" applyFont="1" applyFill="1" applyBorder="1" applyAlignment="1">
      <alignment vertical="center"/>
    </xf>
    <xf numFmtId="180" fontId="32" fillId="0" borderId="0" xfId="0" applyNumberFormat="1" applyFont="1" applyFill="1" applyBorder="1" applyAlignment="1" applyProtection="1">
      <alignment vertical="center" wrapText="1"/>
      <protection locked="0"/>
    </xf>
    <xf numFmtId="0" fontId="42" fillId="0" borderId="67" xfId="0" applyFont="1" applyFill="1" applyBorder="1" applyAlignment="1">
      <alignment horizontal="center" vertical="center" shrinkToFit="1"/>
    </xf>
    <xf numFmtId="0" fontId="42" fillId="0" borderId="47" xfId="0" applyFont="1" applyFill="1" applyBorder="1" applyAlignment="1">
      <alignment horizontal="center" vertical="center" wrapText="1" shrinkToFit="1"/>
    </xf>
    <xf numFmtId="0" fontId="42" fillId="0" borderId="59" xfId="0" applyFont="1" applyFill="1" applyBorder="1" applyAlignment="1">
      <alignment horizontal="center" vertical="center" wrapText="1" shrinkToFit="1"/>
    </xf>
    <xf numFmtId="0" fontId="32" fillId="0" borderId="40" xfId="0" applyFont="1" applyFill="1" applyBorder="1" applyAlignment="1">
      <alignment horizontal="center" vertical="center" wrapText="1" shrinkToFit="1"/>
    </xf>
    <xf numFmtId="0" fontId="23" fillId="0" borderId="40" xfId="0" applyFont="1" applyFill="1" applyBorder="1" applyAlignment="1">
      <alignment horizontal="center" vertical="center" wrapText="1" shrinkToFit="1"/>
    </xf>
    <xf numFmtId="0" fontId="42" fillId="0" borderId="48" xfId="0" applyFont="1" applyFill="1" applyBorder="1" applyAlignment="1">
      <alignment horizontal="center" vertical="center"/>
    </xf>
    <xf numFmtId="188" fontId="42" fillId="0" borderId="37" xfId="0" applyNumberFormat="1" applyFont="1" applyFill="1" applyBorder="1">
      <alignment vertical="center"/>
    </xf>
    <xf numFmtId="182" fontId="23" fillId="0" borderId="37" xfId="0" applyNumberFormat="1" applyFont="1" applyFill="1" applyBorder="1">
      <alignment vertical="center"/>
    </xf>
    <xf numFmtId="188" fontId="42" fillId="0" borderId="121" xfId="0" applyNumberFormat="1" applyFont="1" applyFill="1" applyBorder="1">
      <alignment vertical="center"/>
    </xf>
    <xf numFmtId="182" fontId="23" fillId="0" borderId="121" xfId="0" applyNumberFormat="1" applyFont="1" applyFill="1" applyBorder="1">
      <alignment vertical="center"/>
    </xf>
    <xf numFmtId="188" fontId="42" fillId="0" borderId="41" xfId="0" applyNumberFormat="1" applyFont="1" applyFill="1" applyBorder="1" applyAlignment="1">
      <alignment vertical="center"/>
    </xf>
    <xf numFmtId="182" fontId="23" fillId="0" borderId="41" xfId="0" applyNumberFormat="1" applyFont="1" applyFill="1" applyBorder="1" applyAlignment="1">
      <alignment vertical="center"/>
    </xf>
    <xf numFmtId="176" fontId="42" fillId="0" borderId="90" xfId="0" applyNumberFormat="1" applyFont="1" applyFill="1" applyBorder="1" applyAlignment="1">
      <alignment vertical="center"/>
    </xf>
    <xf numFmtId="198" fontId="42" fillId="0" borderId="0" xfId="0" applyNumberFormat="1" applyFont="1" applyFill="1">
      <alignment vertical="center"/>
    </xf>
    <xf numFmtId="0" fontId="42" fillId="0" borderId="0" xfId="0" applyFont="1" applyFill="1" applyAlignment="1">
      <alignment vertical="center" wrapText="1"/>
    </xf>
    <xf numFmtId="0" fontId="42" fillId="0" borderId="91" xfId="0" applyFont="1" applyFill="1" applyBorder="1" applyAlignment="1">
      <alignment horizontal="center" vertical="center"/>
    </xf>
    <xf numFmtId="0" fontId="42" fillId="0" borderId="92" xfId="0" applyFont="1" applyFill="1" applyBorder="1" applyAlignment="1">
      <alignment horizontal="center" vertical="center"/>
    </xf>
    <xf numFmtId="0" fontId="42" fillId="0" borderId="93" xfId="0" applyFont="1" applyFill="1" applyBorder="1" applyAlignment="1">
      <alignment horizontal="center" vertical="center"/>
    </xf>
    <xf numFmtId="0" fontId="42" fillId="0" borderId="26" xfId="0" applyFont="1" applyFill="1" applyBorder="1" applyAlignment="1">
      <alignment horizontal="center" vertical="center" shrinkToFit="1"/>
    </xf>
    <xf numFmtId="0" fontId="42" fillId="0" borderId="94" xfId="0" applyFont="1" applyFill="1" applyBorder="1" applyAlignment="1">
      <alignment horizontal="distributed" vertical="center" wrapText="1" justifyLastLine="1" shrinkToFit="1"/>
    </xf>
    <xf numFmtId="0" fontId="42" fillId="0" borderId="94" xfId="0" applyFont="1" applyFill="1" applyBorder="1" applyAlignment="1">
      <alignment horizontal="center" vertical="center" shrinkToFit="1"/>
    </xf>
    <xf numFmtId="0" fontId="27" fillId="0" borderId="94" xfId="0" applyFont="1" applyFill="1" applyBorder="1" applyAlignment="1">
      <alignment horizontal="center" vertical="center" wrapText="1" shrinkToFit="1"/>
    </xf>
    <xf numFmtId="0" fontId="46" fillId="0" borderId="24" xfId="0" applyFont="1" applyFill="1" applyBorder="1" applyAlignment="1">
      <alignment horizontal="center" vertical="center" wrapText="1" shrinkToFit="1"/>
    </xf>
    <xf numFmtId="176" fontId="42" fillId="0" borderId="61" xfId="0" applyNumberFormat="1" applyFont="1" applyFill="1" applyBorder="1">
      <alignment vertical="center"/>
    </xf>
    <xf numFmtId="176" fontId="42" fillId="0" borderId="37" xfId="0" applyNumberFormat="1" applyFont="1" applyFill="1" applyBorder="1">
      <alignment vertical="center"/>
    </xf>
    <xf numFmtId="176" fontId="42" fillId="0" borderId="21" xfId="0" applyNumberFormat="1" applyFont="1" applyFill="1" applyBorder="1">
      <alignment vertical="center"/>
    </xf>
    <xf numFmtId="176" fontId="42" fillId="0" borderId="22" xfId="0" applyNumberFormat="1" applyFont="1" applyFill="1" applyBorder="1">
      <alignment vertical="center"/>
    </xf>
    <xf numFmtId="176" fontId="42" fillId="0" borderId="121" xfId="0" applyNumberFormat="1" applyFont="1" applyFill="1" applyBorder="1">
      <alignment vertical="center"/>
    </xf>
    <xf numFmtId="176" fontId="42" fillId="0" borderId="41" xfId="0" applyNumberFormat="1" applyFont="1" applyFill="1" applyBorder="1" applyAlignment="1">
      <alignment vertical="center"/>
    </xf>
    <xf numFmtId="0" fontId="42" fillId="0" borderId="0" xfId="0" applyFont="1" applyFill="1" applyBorder="1">
      <alignment vertical="center"/>
    </xf>
    <xf numFmtId="0" fontId="42" fillId="0" borderId="0" xfId="0" applyFont="1" applyFill="1" applyAlignment="1">
      <alignment horizontal="center" vertical="center" wrapText="1"/>
    </xf>
    <xf numFmtId="0" fontId="42" fillId="0" borderId="40" xfId="0" applyFont="1" applyFill="1" applyBorder="1" applyAlignment="1">
      <alignment vertical="center" wrapText="1"/>
    </xf>
    <xf numFmtId="0" fontId="42" fillId="0" borderId="58" xfId="0" applyFont="1" applyFill="1" applyBorder="1" applyAlignment="1">
      <alignment horizontal="distributed" vertical="center" wrapText="1" justifyLastLine="1"/>
    </xf>
    <xf numFmtId="0" fontId="23" fillId="0" borderId="0" xfId="0" applyFont="1" applyFill="1" applyBorder="1" applyAlignment="1">
      <alignment horizontal="distributed" vertical="center"/>
    </xf>
    <xf numFmtId="0" fontId="42" fillId="0" borderId="0" xfId="0" applyFont="1" applyFill="1" applyBorder="1" applyAlignment="1">
      <alignment vertical="center" wrapText="1"/>
    </xf>
    <xf numFmtId="176" fontId="42" fillId="0" borderId="60" xfId="0" applyNumberFormat="1" applyFont="1" applyFill="1" applyBorder="1" applyAlignment="1">
      <alignment vertical="center"/>
    </xf>
    <xf numFmtId="0" fontId="42" fillId="0" borderId="11" xfId="0" applyFont="1" applyFill="1" applyBorder="1" applyAlignment="1">
      <alignment vertical="center"/>
    </xf>
    <xf numFmtId="176" fontId="23" fillId="0" borderId="0" xfId="0" applyNumberFormat="1" applyFont="1" applyFill="1" applyBorder="1">
      <alignment vertical="center"/>
    </xf>
    <xf numFmtId="38" fontId="42" fillId="0" borderId="11" xfId="35" applyFont="1" applyFill="1" applyBorder="1" applyAlignment="1">
      <alignment vertical="center"/>
    </xf>
    <xf numFmtId="38" fontId="42" fillId="0" borderId="69" xfId="35" applyFont="1" applyFill="1" applyBorder="1" applyAlignment="1">
      <alignment vertical="center"/>
    </xf>
    <xf numFmtId="38" fontId="42" fillId="0" borderId="23" xfId="35" applyFont="1" applyFill="1" applyBorder="1" applyAlignment="1">
      <alignment vertical="center"/>
    </xf>
    <xf numFmtId="176" fontId="23" fillId="0" borderId="0" xfId="0" applyNumberFormat="1" applyFont="1" applyFill="1" applyBorder="1" applyAlignment="1">
      <alignment vertical="center"/>
    </xf>
    <xf numFmtId="0" fontId="46" fillId="0" borderId="59" xfId="0" applyFont="1" applyFill="1" applyBorder="1" applyAlignment="1">
      <alignment horizontal="distributed" vertical="center" wrapText="1" justifyLastLine="1"/>
    </xf>
    <xf numFmtId="0" fontId="42" fillId="0" borderId="31" xfId="0" applyFont="1" applyFill="1" applyBorder="1" applyAlignment="1">
      <alignment horizontal="distributed" vertical="center" wrapText="1" justifyLastLine="1"/>
    </xf>
    <xf numFmtId="3" fontId="42" fillId="0" borderId="0" xfId="0" applyNumberFormat="1" applyFont="1" applyFill="1" applyBorder="1" applyAlignment="1">
      <alignment horizontal="distributed" vertical="center" wrapText="1" justifyLastLine="1"/>
    </xf>
    <xf numFmtId="3" fontId="42" fillId="0" borderId="0" xfId="0" applyNumberFormat="1" applyFont="1" applyFill="1">
      <alignment vertical="center"/>
    </xf>
    <xf numFmtId="176" fontId="42" fillId="0" borderId="31" xfId="0" applyNumberFormat="1" applyFont="1" applyFill="1" applyBorder="1">
      <alignment vertical="center"/>
    </xf>
    <xf numFmtId="0" fontId="42" fillId="0" borderId="58" xfId="0" applyFont="1" applyFill="1" applyBorder="1" applyAlignment="1">
      <alignment horizontal="center" vertical="center"/>
    </xf>
    <xf numFmtId="0" fontId="42" fillId="0" borderId="47" xfId="0" applyFont="1" applyFill="1" applyBorder="1" applyAlignment="1">
      <alignment horizontal="center" vertical="center"/>
    </xf>
    <xf numFmtId="0" fontId="46" fillId="0" borderId="47" xfId="0" applyFont="1" applyFill="1" applyBorder="1" applyAlignment="1">
      <alignment horizontal="center" vertical="center" wrapText="1"/>
    </xf>
    <xf numFmtId="0" fontId="42" fillId="0" borderId="47"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42" fillId="0" borderId="95" xfId="0" applyFont="1" applyFill="1" applyBorder="1" applyAlignment="1">
      <alignment horizontal="distributed" vertical="center" justifyLastLine="1"/>
    </xf>
    <xf numFmtId="201" fontId="42" fillId="0" borderId="60" xfId="0" applyNumberFormat="1" applyFont="1" applyFill="1" applyBorder="1" applyAlignment="1">
      <alignment vertical="center"/>
    </xf>
    <xf numFmtId="201" fontId="42" fillId="0" borderId="11" xfId="0" applyNumberFormat="1" applyFont="1" applyFill="1" applyBorder="1" applyAlignment="1">
      <alignment vertical="center"/>
    </xf>
    <xf numFmtId="202" fontId="42" fillId="0" borderId="11" xfId="0" applyNumberFormat="1" applyFont="1" applyFill="1" applyBorder="1">
      <alignment vertical="center"/>
    </xf>
    <xf numFmtId="201" fontId="42" fillId="0" borderId="11" xfId="0" applyNumberFormat="1" applyFont="1" applyFill="1" applyBorder="1">
      <alignment vertical="center"/>
    </xf>
    <xf numFmtId="0" fontId="42" fillId="0" borderId="11" xfId="0" applyFont="1" applyFill="1" applyBorder="1">
      <alignment vertical="center"/>
    </xf>
    <xf numFmtId="0" fontId="42" fillId="0" borderId="50" xfId="0" applyFont="1" applyFill="1" applyBorder="1">
      <alignment vertical="center"/>
    </xf>
    <xf numFmtId="0" fontId="42" fillId="0" borderId="96" xfId="0" applyFont="1" applyFill="1" applyBorder="1" applyAlignment="1">
      <alignment horizontal="distributed" vertical="center" justifyLastLine="1"/>
    </xf>
    <xf numFmtId="201" fontId="42" fillId="0" borderId="50" xfId="0" applyNumberFormat="1" applyFont="1" applyFill="1" applyBorder="1">
      <alignment vertical="center"/>
    </xf>
    <xf numFmtId="201" fontId="42" fillId="0" borderId="122" xfId="0" applyNumberFormat="1" applyFont="1" applyFill="1" applyBorder="1" applyAlignment="1">
      <alignment vertical="center"/>
    </xf>
    <xf numFmtId="201" fontId="42" fillId="0" borderId="69" xfId="0" applyNumberFormat="1" applyFont="1" applyFill="1" applyBorder="1" applyAlignment="1">
      <alignment vertical="center"/>
    </xf>
    <xf numFmtId="201" fontId="42" fillId="0" borderId="69" xfId="0" applyNumberFormat="1" applyFont="1" applyFill="1" applyBorder="1">
      <alignment vertical="center"/>
    </xf>
    <xf numFmtId="202" fontId="42" fillId="0" borderId="69" xfId="0" applyNumberFormat="1" applyFont="1" applyFill="1" applyBorder="1">
      <alignment vertical="center"/>
    </xf>
    <xf numFmtId="0" fontId="42" fillId="0" borderId="143" xfId="0" applyFont="1" applyFill="1" applyBorder="1" applyAlignment="1">
      <alignment horizontal="distributed" vertical="center" justifyLastLine="1"/>
    </xf>
    <xf numFmtId="201" fontId="42" fillId="0" borderId="72" xfId="0" applyNumberFormat="1" applyFont="1" applyFill="1" applyBorder="1">
      <alignment vertical="center"/>
    </xf>
    <xf numFmtId="0" fontId="42" fillId="0" borderId="97" xfId="0" applyFont="1" applyFill="1" applyBorder="1" applyAlignment="1">
      <alignment horizontal="distributed" vertical="center" justifyLastLine="1"/>
    </xf>
    <xf numFmtId="176" fontId="42" fillId="0" borderId="62" xfId="0" applyNumberFormat="1" applyFont="1" applyFill="1" applyBorder="1" applyAlignment="1">
      <alignment vertical="center"/>
    </xf>
    <xf numFmtId="176" fontId="42" fillId="0" borderId="12" xfId="0" applyNumberFormat="1" applyFont="1" applyFill="1" applyBorder="1" applyAlignment="1">
      <alignment vertical="center"/>
    </xf>
    <xf numFmtId="0" fontId="87" fillId="0" borderId="47" xfId="0" applyFont="1" applyFill="1" applyBorder="1" applyAlignment="1">
      <alignment horizontal="distributed" vertical="center" wrapText="1" justifyLastLine="1"/>
    </xf>
    <xf numFmtId="0" fontId="23" fillId="0" borderId="40" xfId="0" applyFont="1" applyFill="1" applyBorder="1" applyAlignment="1">
      <alignment horizontal="distributed" vertical="center"/>
    </xf>
    <xf numFmtId="0" fontId="42" fillId="0" borderId="73" xfId="0" applyFont="1" applyFill="1" applyBorder="1" applyAlignment="1">
      <alignment vertical="center"/>
    </xf>
    <xf numFmtId="0" fontId="42" fillId="0" borderId="74" xfId="0" applyFont="1" applyFill="1" applyBorder="1" applyAlignment="1">
      <alignment vertical="center"/>
    </xf>
    <xf numFmtId="0" fontId="42" fillId="0" borderId="75" xfId="0" applyFont="1" applyFill="1" applyBorder="1" applyAlignment="1">
      <alignment horizontal="center" vertical="center"/>
    </xf>
    <xf numFmtId="0" fontId="42" fillId="0" borderId="76" xfId="0" applyFont="1" applyFill="1" applyBorder="1" applyAlignment="1">
      <alignment horizontal="center" vertical="center"/>
    </xf>
    <xf numFmtId="0" fontId="42" fillId="0" borderId="38" xfId="0" applyFont="1" applyFill="1" applyBorder="1" applyAlignment="1">
      <alignment horizontal="center" vertical="center" shrinkToFit="1"/>
    </xf>
    <xf numFmtId="0" fontId="42" fillId="0" borderId="63" xfId="0" applyFont="1" applyFill="1" applyBorder="1" applyAlignment="1">
      <alignment horizontal="center" vertical="center"/>
    </xf>
    <xf numFmtId="0" fontId="42" fillId="0" borderId="77" xfId="0" applyFont="1" applyFill="1" applyBorder="1" applyAlignment="1">
      <alignment horizontal="center" vertical="center" shrinkToFit="1"/>
    </xf>
    <xf numFmtId="0" fontId="42" fillId="0" borderId="78" xfId="0" applyFont="1" applyFill="1" applyBorder="1" applyAlignment="1">
      <alignment horizontal="center" vertical="center"/>
    </xf>
    <xf numFmtId="0" fontId="42" fillId="0" borderId="53" xfId="0" applyFont="1" applyFill="1" applyBorder="1" applyAlignment="1">
      <alignment horizontal="center" vertical="center"/>
    </xf>
    <xf numFmtId="0" fontId="42" fillId="0" borderId="36" xfId="0" applyFont="1" applyFill="1" applyBorder="1" applyAlignment="1">
      <alignment horizontal="distributed" vertical="center" justifyLastLine="1"/>
    </xf>
    <xf numFmtId="201" fontId="42" fillId="0" borderId="79" xfId="0" applyNumberFormat="1" applyFont="1" applyFill="1" applyBorder="1" applyAlignment="1">
      <alignment vertical="center"/>
    </xf>
    <xf numFmtId="201" fontId="42" fillId="0" borderId="17" xfId="0" applyNumberFormat="1" applyFont="1" applyFill="1" applyBorder="1" applyAlignment="1">
      <alignment vertical="center"/>
    </xf>
    <xf numFmtId="201" fontId="42" fillId="0" borderId="20" xfId="0" applyNumberFormat="1" applyFont="1" applyFill="1" applyBorder="1" applyAlignment="1">
      <alignment vertical="center"/>
    </xf>
    <xf numFmtId="201" fontId="42" fillId="0" borderId="184" xfId="0" applyNumberFormat="1" applyFont="1" applyFill="1" applyBorder="1" applyAlignment="1">
      <alignment vertical="center"/>
    </xf>
    <xf numFmtId="201" fontId="42" fillId="0" borderId="24" xfId="0" applyNumberFormat="1" applyFont="1" applyFill="1" applyBorder="1" applyAlignment="1">
      <alignment vertical="center"/>
    </xf>
    <xf numFmtId="201" fontId="42" fillId="0" borderId="80" xfId="0" applyNumberFormat="1" applyFont="1" applyFill="1" applyBorder="1" applyAlignment="1">
      <alignment vertical="center"/>
    </xf>
    <xf numFmtId="201" fontId="42" fillId="0" borderId="81" xfId="0" applyNumberFormat="1" applyFont="1" applyFill="1" applyBorder="1">
      <alignment vertical="center"/>
    </xf>
    <xf numFmtId="201" fontId="42" fillId="0" borderId="0" xfId="0" applyNumberFormat="1" applyFont="1" applyFill="1">
      <alignment vertical="center"/>
    </xf>
    <xf numFmtId="201" fontId="42" fillId="0" borderId="82" xfId="0" applyNumberFormat="1" applyFont="1" applyFill="1" applyBorder="1" applyAlignment="1">
      <alignment vertical="center"/>
    </xf>
    <xf numFmtId="201" fontId="42" fillId="0" borderId="83" xfId="0" applyNumberFormat="1" applyFont="1" applyFill="1" applyBorder="1" applyAlignment="1">
      <alignment vertical="center"/>
    </xf>
    <xf numFmtId="201" fontId="42" fillId="0" borderId="84" xfId="0" applyNumberFormat="1" applyFont="1" applyFill="1" applyBorder="1" applyAlignment="1">
      <alignment vertical="center"/>
    </xf>
    <xf numFmtId="201" fontId="42" fillId="0" borderId="185" xfId="0" applyNumberFormat="1" applyFont="1" applyFill="1" applyBorder="1" applyAlignment="1">
      <alignment vertical="center"/>
    </xf>
    <xf numFmtId="201" fontId="42" fillId="0" borderId="61" xfId="0" applyNumberFormat="1" applyFont="1" applyFill="1" applyBorder="1" applyAlignment="1">
      <alignment vertical="center"/>
    </xf>
    <xf numFmtId="201" fontId="42" fillId="0" borderId="85" xfId="0" applyNumberFormat="1" applyFont="1" applyFill="1" applyBorder="1" applyAlignment="1">
      <alignment vertical="center"/>
    </xf>
    <xf numFmtId="201" fontId="42" fillId="0" borderId="86" xfId="0" applyNumberFormat="1" applyFont="1" applyFill="1" applyBorder="1" applyAlignment="1">
      <alignment vertical="center"/>
    </xf>
    <xf numFmtId="201" fontId="42" fillId="0" borderId="87" xfId="0" applyNumberFormat="1" applyFont="1" applyFill="1" applyBorder="1" applyAlignment="1">
      <alignment vertical="center"/>
    </xf>
    <xf numFmtId="201" fontId="42" fillId="0" borderId="88" xfId="0" applyNumberFormat="1" applyFont="1" applyFill="1" applyBorder="1" applyAlignment="1">
      <alignment vertical="center"/>
    </xf>
    <xf numFmtId="201" fontId="42" fillId="0" borderId="186" xfId="0" applyNumberFormat="1" applyFont="1" applyFill="1" applyBorder="1" applyAlignment="1">
      <alignment vertical="center"/>
    </xf>
    <xf numFmtId="201" fontId="42" fillId="0" borderId="89" xfId="0" applyNumberFormat="1" applyFont="1" applyFill="1" applyBorder="1" applyAlignment="1">
      <alignment vertical="center"/>
    </xf>
    <xf numFmtId="201" fontId="42" fillId="0" borderId="50" xfId="0" applyNumberFormat="1" applyFont="1" applyFill="1" applyBorder="1" applyAlignment="1">
      <alignment vertical="center"/>
    </xf>
    <xf numFmtId="201" fontId="42" fillId="0" borderId="133" xfId="0" applyNumberFormat="1" applyFont="1" applyFill="1" applyBorder="1" applyAlignment="1">
      <alignment vertical="center"/>
    </xf>
    <xf numFmtId="201" fontId="42" fillId="0" borderId="22" xfId="0" applyNumberFormat="1" applyFont="1" applyFill="1" applyBorder="1" applyAlignment="1">
      <alignment vertical="center"/>
    </xf>
    <xf numFmtId="201" fontId="42" fillId="0" borderId="118" xfId="0" applyNumberFormat="1" applyFont="1" applyFill="1" applyBorder="1">
      <alignment vertical="center"/>
    </xf>
    <xf numFmtId="201" fontId="42" fillId="0" borderId="190" xfId="0" applyNumberFormat="1" applyFont="1" applyFill="1" applyBorder="1" applyAlignment="1">
      <alignment vertical="center"/>
    </xf>
    <xf numFmtId="176" fontId="42" fillId="0" borderId="119" xfId="0" applyNumberFormat="1" applyFont="1" applyFill="1" applyBorder="1" applyAlignment="1">
      <alignment vertical="center"/>
    </xf>
    <xf numFmtId="176" fontId="42" fillId="0" borderId="120" xfId="0" applyNumberFormat="1" applyFont="1" applyFill="1" applyBorder="1" applyAlignment="1">
      <alignment vertical="center"/>
    </xf>
    <xf numFmtId="176" fontId="42" fillId="0" borderId="193" xfId="0" applyNumberFormat="1" applyFont="1" applyFill="1" applyBorder="1" applyAlignment="1">
      <alignment vertical="center"/>
    </xf>
    <xf numFmtId="176" fontId="42" fillId="0" borderId="192" xfId="0" applyNumberFormat="1" applyFont="1" applyFill="1" applyBorder="1" applyAlignment="1">
      <alignment vertical="center"/>
    </xf>
    <xf numFmtId="176" fontId="42" fillId="0" borderId="29" xfId="0" applyNumberFormat="1" applyFont="1" applyFill="1" applyBorder="1" applyAlignment="1">
      <alignment vertical="center"/>
    </xf>
    <xf numFmtId="176" fontId="76" fillId="0" borderId="25" xfId="0" applyNumberFormat="1" applyFont="1" applyFill="1" applyBorder="1" applyAlignment="1">
      <alignment horizontal="center" vertical="center"/>
    </xf>
    <xf numFmtId="176" fontId="76" fillId="0" borderId="0" xfId="0" applyNumberFormat="1" applyFont="1" applyFill="1" applyBorder="1" applyAlignment="1">
      <alignment horizontal="center" vertical="center"/>
    </xf>
    <xf numFmtId="188" fontId="76" fillId="0" borderId="25" xfId="0" applyNumberFormat="1" applyFont="1" applyFill="1" applyBorder="1" applyAlignment="1">
      <alignment horizontal="center" vertical="center"/>
    </xf>
    <xf numFmtId="214" fontId="0" fillId="0" borderId="74" xfId="0" applyNumberFormat="1" applyFont="1" applyFill="1" applyBorder="1" applyAlignment="1">
      <alignment horizontal="center" vertical="center"/>
    </xf>
    <xf numFmtId="176" fontId="27" fillId="0" borderId="11" xfId="0" applyNumberFormat="1" applyFont="1" applyFill="1" applyBorder="1">
      <alignment vertical="center"/>
    </xf>
    <xf numFmtId="0" fontId="23" fillId="0" borderId="41" xfId="0" applyNumberFormat="1" applyFont="1" applyFill="1" applyBorder="1">
      <alignment vertical="center"/>
    </xf>
    <xf numFmtId="176" fontId="27" fillId="0" borderId="11" xfId="0" applyNumberFormat="1" applyFont="1" applyFill="1" applyBorder="1">
      <alignment vertical="center"/>
    </xf>
    <xf numFmtId="0" fontId="76" fillId="0" borderId="51" xfId="0" applyFont="1" applyFill="1" applyBorder="1" applyAlignment="1" applyProtection="1">
      <alignment horizontal="center" vertical="center"/>
      <protection locked="0"/>
    </xf>
    <xf numFmtId="180" fontId="76" fillId="0" borderId="52" xfId="0" applyNumberFormat="1" applyFont="1" applyFill="1" applyBorder="1" applyAlignment="1" applyProtection="1">
      <alignment horizontal="right" vertical="center"/>
      <protection locked="0"/>
    </xf>
    <xf numFmtId="180" fontId="76" fillId="0" borderId="12" xfId="0" applyNumberFormat="1" applyFont="1" applyFill="1" applyBorder="1" applyAlignment="1" applyProtection="1">
      <alignment horizontal="right" vertical="center"/>
    </xf>
    <xf numFmtId="180" fontId="76" fillId="0" borderId="53" xfId="0" applyNumberFormat="1" applyFont="1" applyFill="1" applyBorder="1" applyAlignment="1" applyProtection="1">
      <alignment horizontal="right" vertical="center"/>
      <protection locked="0"/>
    </xf>
    <xf numFmtId="180" fontId="76" fillId="0" borderId="111" xfId="0" applyNumberFormat="1" applyFont="1" applyFill="1" applyBorder="1" applyAlignment="1" applyProtection="1">
      <alignment horizontal="right" vertical="center"/>
      <protection locked="0"/>
    </xf>
    <xf numFmtId="176" fontId="76" fillId="0" borderId="70" xfId="0" applyNumberFormat="1" applyFont="1" applyFill="1" applyBorder="1" applyAlignment="1" applyProtection="1">
      <alignment horizontal="right" vertical="center"/>
      <protection locked="0"/>
    </xf>
    <xf numFmtId="176" fontId="76" fillId="0" borderId="12" xfId="0" applyNumberFormat="1" applyFont="1" applyFill="1" applyBorder="1" applyAlignment="1" applyProtection="1">
      <alignment horizontal="right" vertical="center"/>
      <protection locked="0"/>
    </xf>
    <xf numFmtId="180" fontId="76" fillId="0" borderId="113" xfId="0" applyNumberFormat="1" applyFont="1" applyFill="1" applyBorder="1" applyAlignment="1" applyProtection="1">
      <alignment horizontal="right" vertical="center"/>
      <protection locked="0"/>
    </xf>
    <xf numFmtId="180" fontId="76" fillId="0" borderId="62" xfId="0" applyNumberFormat="1" applyFont="1" applyFill="1" applyBorder="1" applyAlignment="1" applyProtection="1">
      <alignment horizontal="right" vertical="center"/>
      <protection locked="0"/>
    </xf>
    <xf numFmtId="38" fontId="69" fillId="0" borderId="194" xfId="35" applyFont="1" applyFill="1" applyBorder="1">
      <alignment vertical="center"/>
    </xf>
    <xf numFmtId="0" fontId="69" fillId="0" borderId="138" xfId="0" applyFont="1" applyFill="1" applyBorder="1" applyAlignment="1">
      <alignment horizontal="right" vertical="center" justifyLastLine="1"/>
    </xf>
    <xf numFmtId="0" fontId="69" fillId="0" borderId="94" xfId="0" applyFont="1" applyFill="1" applyBorder="1" applyAlignment="1">
      <alignment horizontal="right" vertical="center" justifyLastLine="1"/>
    </xf>
    <xf numFmtId="176" fontId="57" fillId="0" borderId="0" xfId="0" applyNumberFormat="1" applyFont="1" applyFill="1" applyBorder="1" applyAlignment="1">
      <alignment vertical="center"/>
    </xf>
    <xf numFmtId="0" fontId="42" fillId="0" borderId="47" xfId="0" applyFont="1" applyFill="1" applyBorder="1" applyAlignment="1">
      <alignment horizontal="distributed" vertical="center" justifyLastLine="1"/>
    </xf>
    <xf numFmtId="176" fontId="69" fillId="0" borderId="11" xfId="0" applyNumberFormat="1" applyFont="1" applyFill="1" applyBorder="1" applyAlignment="1">
      <alignment vertical="center"/>
    </xf>
    <xf numFmtId="197" fontId="69" fillId="0" borderId="11" xfId="0" applyNumberFormat="1" applyFont="1" applyFill="1" applyBorder="1">
      <alignment vertical="center"/>
    </xf>
    <xf numFmtId="38" fontId="69" fillId="0" borderId="62" xfId="35" applyFont="1" applyFill="1" applyBorder="1" applyAlignment="1">
      <alignment vertical="center"/>
    </xf>
    <xf numFmtId="38" fontId="69" fillId="0" borderId="12" xfId="35" applyFont="1" applyFill="1" applyBorder="1">
      <alignment vertical="center"/>
    </xf>
    <xf numFmtId="38" fontId="69" fillId="0" borderId="63" xfId="35" applyFont="1" applyFill="1" applyBorder="1">
      <alignment vertical="center"/>
    </xf>
    <xf numFmtId="0" fontId="27" fillId="0" borderId="58" xfId="0" applyFont="1" applyFill="1" applyBorder="1" applyAlignment="1">
      <alignment horizontal="distributed" vertical="center" indent="1" justifyLastLine="1"/>
    </xf>
    <xf numFmtId="178" fontId="27" fillId="0" borderId="47" xfId="0" applyNumberFormat="1" applyFont="1" applyFill="1" applyBorder="1" applyAlignment="1">
      <alignment horizontal="distributed" vertical="center" justifyLastLine="1"/>
    </xf>
    <xf numFmtId="176" fontId="27" fillId="0" borderId="47" xfId="0" applyNumberFormat="1" applyFont="1" applyFill="1" applyBorder="1" applyAlignment="1">
      <alignment horizontal="distributed" vertical="center" justifyLastLine="1"/>
    </xf>
    <xf numFmtId="0" fontId="27" fillId="0" borderId="48" xfId="0" applyFont="1" applyFill="1" applyBorder="1" applyAlignment="1">
      <alignment horizontal="distributed" vertical="center" justifyLastLine="1"/>
    </xf>
    <xf numFmtId="176" fontId="72" fillId="0" borderId="47" xfId="0" applyNumberFormat="1" applyFont="1" applyFill="1" applyBorder="1" applyAlignment="1">
      <alignment horizontal="distributed" vertical="center" justifyLastLine="1"/>
    </xf>
    <xf numFmtId="176" fontId="27" fillId="0" borderId="59" xfId="0" applyNumberFormat="1" applyFont="1" applyFill="1" applyBorder="1" applyAlignment="1">
      <alignment horizontal="distributed" vertical="center" justifyLastLine="1"/>
    </xf>
    <xf numFmtId="0" fontId="28" fillId="0" borderId="40" xfId="0" applyFont="1" applyFill="1" applyBorder="1" applyAlignment="1">
      <alignment horizontal="distributed" vertical="center" justifyLastLine="1"/>
    </xf>
    <xf numFmtId="176" fontId="27" fillId="0" borderId="62" xfId="0" applyNumberFormat="1" applyFont="1" applyFill="1" applyBorder="1" applyAlignment="1">
      <alignment horizontal="distributed" vertical="center" justifyLastLine="1"/>
    </xf>
    <xf numFmtId="3" fontId="27" fillId="0" borderId="0" xfId="0" applyNumberFormat="1" applyFont="1" applyFill="1">
      <alignment vertical="center"/>
    </xf>
    <xf numFmtId="0" fontId="42" fillId="0" borderId="31" xfId="0" applyFont="1" applyFill="1" applyBorder="1" applyAlignment="1">
      <alignment horizontal="left" vertical="center"/>
    </xf>
    <xf numFmtId="38" fontId="42" fillId="0" borderId="0" xfId="35" applyFont="1" applyFill="1" applyBorder="1">
      <alignment vertical="center"/>
    </xf>
    <xf numFmtId="176" fontId="42" fillId="0" borderId="31" xfId="0" applyNumberFormat="1" applyFont="1" applyFill="1" applyBorder="1" applyAlignment="1">
      <alignment vertical="center" wrapText="1"/>
    </xf>
    <xf numFmtId="179" fontId="33" fillId="0" borderId="138" xfId="0" applyNumberFormat="1" applyFont="1" applyFill="1" applyBorder="1" applyAlignment="1">
      <alignment horizontal="center" vertical="center"/>
    </xf>
    <xf numFmtId="0" fontId="33" fillId="0" borderId="19" xfId="0" applyFont="1" applyFill="1" applyBorder="1" applyAlignment="1">
      <alignment horizontal="center" vertical="center"/>
    </xf>
    <xf numFmtId="194" fontId="33" fillId="0" borderId="24" xfId="0" applyNumberFormat="1" applyFont="1" applyFill="1" applyBorder="1" applyAlignment="1">
      <alignment horizontal="center" vertical="center"/>
    </xf>
    <xf numFmtId="194" fontId="33" fillId="0" borderId="26" xfId="0" applyNumberFormat="1" applyFont="1" applyFill="1" applyBorder="1" applyAlignment="1">
      <alignment horizontal="center" vertical="center"/>
    </xf>
    <xf numFmtId="179" fontId="33" fillId="0" borderId="69" xfId="0" applyNumberFormat="1" applyFont="1" applyFill="1" applyBorder="1" applyAlignment="1">
      <alignment horizontal="center" vertical="center"/>
    </xf>
    <xf numFmtId="0" fontId="33" fillId="0" borderId="69" xfId="0" applyFont="1" applyFill="1" applyBorder="1" applyAlignment="1">
      <alignment horizontal="center" vertical="center"/>
    </xf>
    <xf numFmtId="194" fontId="33" fillId="0" borderId="94" xfId="0" applyNumberFormat="1" applyFont="1" applyFill="1" applyBorder="1" applyAlignment="1">
      <alignment horizontal="center" vertical="center"/>
    </xf>
    <xf numFmtId="0" fontId="33" fillId="0" borderId="94" xfId="0" applyFont="1" applyFill="1" applyBorder="1" applyAlignment="1">
      <alignment horizontal="center" vertical="center"/>
    </xf>
    <xf numFmtId="0" fontId="33" fillId="0" borderId="47" xfId="0" applyFont="1" applyFill="1" applyBorder="1" applyAlignment="1">
      <alignment horizontal="center" vertical="center"/>
    </xf>
    <xf numFmtId="0" fontId="33" fillId="0" borderId="11" xfId="0" applyFont="1" applyFill="1" applyBorder="1" applyAlignment="1">
      <alignment horizontal="center" vertical="center"/>
    </xf>
    <xf numFmtId="179" fontId="33" fillId="0" borderId="21" xfId="0" applyNumberFormat="1" applyFont="1" applyFill="1" applyBorder="1" applyAlignment="1">
      <alignment horizontal="center" vertical="center"/>
    </xf>
    <xf numFmtId="179" fontId="33" fillId="0" borderId="23" xfId="0" applyNumberFormat="1" applyFont="1" applyFill="1" applyBorder="1" applyAlignment="1">
      <alignment horizontal="center" vertical="center"/>
    </xf>
    <xf numFmtId="179" fontId="33" fillId="0" borderId="147" xfId="0" applyNumberFormat="1" applyFont="1" applyFill="1" applyBorder="1" applyAlignment="1">
      <alignment horizontal="center" vertical="center"/>
    </xf>
    <xf numFmtId="0" fontId="33" fillId="0" borderId="148" xfId="0" applyFont="1" applyFill="1" applyBorder="1" applyAlignment="1">
      <alignment horizontal="center" vertical="center"/>
    </xf>
    <xf numFmtId="217" fontId="33" fillId="0" borderId="94" xfId="0" applyNumberFormat="1" applyFont="1" applyFill="1" applyBorder="1" applyAlignment="1">
      <alignment horizontal="center" vertical="center"/>
    </xf>
    <xf numFmtId="217" fontId="33" fillId="0" borderId="81" xfId="0" applyNumberFormat="1" applyFont="1" applyFill="1" applyBorder="1" applyAlignment="1">
      <alignment horizontal="center" vertical="center"/>
    </xf>
    <xf numFmtId="198" fontId="33" fillId="0" borderId="21" xfId="0" applyNumberFormat="1" applyFont="1" applyFill="1" applyBorder="1" applyAlignment="1">
      <alignment horizontal="center" vertical="center"/>
    </xf>
    <xf numFmtId="198" fontId="33" fillId="0" borderId="23" xfId="0" applyNumberFormat="1" applyFont="1" applyFill="1" applyBorder="1" applyAlignment="1">
      <alignment horizontal="center" vertical="center"/>
    </xf>
    <xf numFmtId="198" fontId="33" fillId="0" borderId="24" xfId="0" applyNumberFormat="1" applyFont="1" applyFill="1" applyBorder="1" applyAlignment="1">
      <alignment horizontal="center" vertical="center"/>
    </xf>
    <xf numFmtId="198" fontId="33" fillId="0" borderId="26" xfId="0" applyNumberFormat="1" applyFont="1" applyFill="1" applyBorder="1" applyAlignment="1">
      <alignment horizontal="center" vertical="center"/>
    </xf>
    <xf numFmtId="0" fontId="33" fillId="0" borderId="24" xfId="0" applyFont="1" applyFill="1" applyBorder="1" applyAlignment="1">
      <alignment horizontal="center" vertical="center"/>
    </xf>
    <xf numFmtId="0" fontId="33" fillId="0" borderId="21" xfId="0" applyFont="1" applyFill="1" applyBorder="1" applyAlignment="1">
      <alignment horizontal="center" vertical="center"/>
    </xf>
    <xf numFmtId="217" fontId="33" fillId="0" borderId="117" xfId="0" applyNumberFormat="1" applyFont="1" applyFill="1" applyBorder="1" applyAlignment="1">
      <alignment horizontal="center" vertical="center"/>
    </xf>
    <xf numFmtId="217" fontId="33" fillId="0" borderId="146" xfId="0" applyNumberFormat="1" applyFont="1" applyFill="1" applyBorder="1" applyAlignment="1">
      <alignment horizontal="center" vertical="center"/>
    </xf>
    <xf numFmtId="198" fontId="33" fillId="0" borderId="118" xfId="0" applyNumberFormat="1" applyFont="1" applyFill="1" applyBorder="1" applyAlignment="1">
      <alignment horizontal="center" vertical="center"/>
    </xf>
    <xf numFmtId="198" fontId="33" fillId="0" borderId="117" xfId="0" applyNumberFormat="1" applyFont="1" applyFill="1" applyBorder="1" applyAlignment="1">
      <alignment horizontal="center" vertical="center"/>
    </xf>
    <xf numFmtId="198" fontId="33" fillId="0" borderId="35" xfId="0" applyNumberFormat="1" applyFont="1" applyFill="1" applyBorder="1" applyAlignment="1">
      <alignment horizontal="center" vertical="center"/>
    </xf>
    <xf numFmtId="0" fontId="33" fillId="0" borderId="72" xfId="0" applyFont="1" applyFill="1" applyBorder="1" applyAlignment="1">
      <alignment horizontal="center" vertical="center"/>
    </xf>
    <xf numFmtId="0" fontId="33" fillId="0" borderId="48" xfId="0" applyFont="1" applyFill="1" applyBorder="1" applyAlignment="1">
      <alignment horizontal="center" vertical="center"/>
    </xf>
    <xf numFmtId="0" fontId="33" fillId="0" borderId="50" xfId="0" applyFont="1" applyFill="1" applyBorder="1" applyAlignment="1">
      <alignment horizontal="center" vertical="center"/>
    </xf>
    <xf numFmtId="179" fontId="33" fillId="0" borderId="72" xfId="0" applyNumberFormat="1" applyFont="1" applyFill="1" applyBorder="1" applyAlignment="1">
      <alignment horizontal="center" vertical="center"/>
    </xf>
    <xf numFmtId="0" fontId="0" fillId="0" borderId="0" xfId="0" applyFont="1" applyFill="1" applyAlignment="1">
      <alignment vertical="center"/>
    </xf>
    <xf numFmtId="219" fontId="33" fillId="24" borderId="94" xfId="0" applyNumberFormat="1" applyFont="1" applyFill="1" applyBorder="1" applyAlignment="1">
      <alignment horizontal="center" vertical="center"/>
    </xf>
    <xf numFmtId="219" fontId="33" fillId="24" borderId="81" xfId="0" applyNumberFormat="1" applyFont="1" applyFill="1" applyBorder="1" applyAlignment="1">
      <alignment horizontal="center" vertical="center"/>
    </xf>
    <xf numFmtId="198" fontId="33" fillId="0" borderId="69" xfId="28" applyNumberFormat="1" applyFont="1" applyFill="1" applyBorder="1" applyAlignment="1">
      <alignment horizontal="center" vertical="center"/>
    </xf>
    <xf numFmtId="198" fontId="33" fillId="0" borderId="72" xfId="28" applyNumberFormat="1" applyFont="1" applyFill="1" applyBorder="1" applyAlignment="1">
      <alignment horizontal="center" vertical="center"/>
    </xf>
    <xf numFmtId="198" fontId="33" fillId="0" borderId="94" xfId="28" applyNumberFormat="1" applyFont="1" applyFill="1" applyBorder="1" applyAlignment="1">
      <alignment horizontal="center" vertical="center"/>
    </xf>
    <xf numFmtId="198" fontId="33" fillId="0" borderId="81" xfId="28" applyNumberFormat="1" applyFont="1" applyFill="1" applyBorder="1" applyAlignment="1">
      <alignment horizontal="center" vertical="center"/>
    </xf>
    <xf numFmtId="0" fontId="33" fillId="0" borderId="59" xfId="0" applyFont="1" applyFill="1" applyBorder="1" applyAlignment="1">
      <alignment horizontal="center" vertical="center"/>
    </xf>
    <xf numFmtId="0" fontId="33" fillId="0" borderId="61" xfId="0" applyFont="1" applyFill="1" applyBorder="1" applyAlignment="1">
      <alignment horizontal="center" vertical="center"/>
    </xf>
    <xf numFmtId="213" fontId="33" fillId="0" borderId="24" xfId="0" applyNumberFormat="1" applyFont="1" applyFill="1" applyBorder="1" applyAlignment="1">
      <alignment horizontal="center" vertical="center"/>
    </xf>
    <xf numFmtId="213" fontId="33" fillId="0" borderId="26" xfId="0" applyNumberFormat="1" applyFont="1" applyFill="1" applyBorder="1" applyAlignment="1">
      <alignment horizontal="center" vertical="center"/>
    </xf>
    <xf numFmtId="218" fontId="33" fillId="0" borderId="94" xfId="0" applyNumberFormat="1" applyFont="1" applyFill="1" applyBorder="1" applyAlignment="1">
      <alignment horizontal="center" vertical="center"/>
    </xf>
    <xf numFmtId="218" fontId="33" fillId="0" borderId="24" xfId="0" applyNumberFormat="1" applyFont="1" applyFill="1" applyBorder="1" applyAlignment="1">
      <alignment horizontal="center" vertical="center"/>
    </xf>
    <xf numFmtId="217" fontId="33" fillId="0" borderId="24" xfId="0" applyNumberFormat="1" applyFont="1" applyFill="1" applyBorder="1" applyAlignment="1">
      <alignment horizontal="center" vertical="center"/>
    </xf>
    <xf numFmtId="217" fontId="33" fillId="0" borderId="25" xfId="0" applyNumberFormat="1" applyFont="1" applyFill="1" applyBorder="1" applyAlignment="1">
      <alignment horizontal="center" vertical="center"/>
    </xf>
    <xf numFmtId="0" fontId="0" fillId="0" borderId="0" xfId="0" applyFont="1" applyFill="1" applyBorder="1" applyAlignment="1">
      <alignment horizontal="distributed" vertical="center" justifyLastLine="1"/>
    </xf>
    <xf numFmtId="0" fontId="33" fillId="0" borderId="67" xfId="0" applyFont="1" applyFill="1" applyBorder="1" applyAlignment="1">
      <alignment horizontal="center" vertical="center"/>
    </xf>
    <xf numFmtId="0" fontId="33" fillId="0" borderId="68" xfId="0" applyFont="1" applyFill="1" applyBorder="1" applyAlignment="1">
      <alignment horizontal="center" vertical="center"/>
    </xf>
    <xf numFmtId="198" fontId="33" fillId="0" borderId="146" xfId="0" applyNumberFormat="1" applyFont="1" applyFill="1" applyBorder="1" applyAlignment="1">
      <alignment horizontal="center" vertical="center"/>
    </xf>
    <xf numFmtId="0" fontId="0" fillId="0" borderId="0" xfId="0" applyFont="1" applyFill="1" applyAlignment="1">
      <alignment horizontal="center" vertical="center" shrinkToFit="1"/>
    </xf>
    <xf numFmtId="176" fontId="0" fillId="0" borderId="0" xfId="0" applyNumberFormat="1" applyFont="1" applyFill="1" applyAlignment="1">
      <alignment horizontal="center" vertical="center"/>
    </xf>
    <xf numFmtId="0" fontId="0" fillId="0" borderId="0" xfId="0" applyFont="1" applyFill="1" applyAlignment="1">
      <alignment horizontal="center" vertical="center"/>
    </xf>
    <xf numFmtId="184" fontId="33" fillId="0" borderId="123" xfId="0" applyNumberFormat="1" applyFont="1" applyFill="1" applyBorder="1" applyAlignment="1">
      <alignment horizontal="distributed" vertical="center" justifyLastLine="1"/>
    </xf>
    <xf numFmtId="181" fontId="0" fillId="0" borderId="0" xfId="0" applyNumberFormat="1" applyFont="1" applyFill="1" applyAlignment="1">
      <alignment horizontal="center" vertical="center"/>
    </xf>
    <xf numFmtId="0" fontId="0" fillId="0" borderId="0" xfId="0" applyFont="1" applyFill="1" applyAlignment="1">
      <alignment horizontal="center" vertical="center" wrapText="1" shrinkToFit="1"/>
    </xf>
    <xf numFmtId="0" fontId="0" fillId="0" borderId="0" xfId="0" applyFont="1" applyFill="1" applyAlignment="1">
      <alignment horizontal="distributed" vertical="center" justifyLastLine="1" shrinkToFit="1"/>
    </xf>
    <xf numFmtId="0" fontId="33" fillId="0" borderId="149" xfId="0" applyFont="1" applyFill="1" applyBorder="1" applyAlignment="1">
      <alignment horizontal="distributed" vertical="center" justifyLastLine="1"/>
    </xf>
    <xf numFmtId="0" fontId="33" fillId="0" borderId="123" xfId="0" applyFont="1" applyFill="1" applyBorder="1" applyAlignment="1">
      <alignment horizontal="distributed" vertical="center" justifyLastLine="1"/>
    </xf>
    <xf numFmtId="176" fontId="0" fillId="0" borderId="25" xfId="0" applyNumberFormat="1" applyFont="1" applyFill="1" applyBorder="1" applyAlignment="1">
      <alignment horizontal="distributed" vertical="center" justifyLastLine="1"/>
    </xf>
    <xf numFmtId="176" fontId="0" fillId="0" borderId="22" xfId="0" applyNumberFormat="1" applyFont="1" applyFill="1" applyBorder="1" applyAlignment="1">
      <alignment horizontal="distributed" vertical="center" justifyLastLine="1"/>
    </xf>
    <xf numFmtId="189" fontId="0" fillId="0" borderId="0" xfId="0" applyNumberFormat="1" applyFont="1" applyFill="1" applyAlignment="1">
      <alignment horizontal="center" vertical="center"/>
    </xf>
    <xf numFmtId="191" fontId="45" fillId="0" borderId="73" xfId="0" applyNumberFormat="1" applyFont="1" applyFill="1" applyBorder="1" applyAlignment="1">
      <alignment horizontal="center" vertical="center"/>
    </xf>
    <xf numFmtId="191" fontId="45" fillId="0" borderId="74" xfId="0" applyNumberFormat="1" applyFont="1" applyFill="1" applyBorder="1" applyAlignment="1">
      <alignment horizontal="center" vertical="center"/>
    </xf>
    <xf numFmtId="176" fontId="25" fillId="0" borderId="22" xfId="0" applyNumberFormat="1" applyFont="1" applyFill="1" applyBorder="1" applyAlignment="1">
      <alignment horizontal="left" vertical="center"/>
    </xf>
    <xf numFmtId="176" fontId="25" fillId="0" borderId="0" xfId="0" applyNumberFormat="1" applyFont="1" applyFill="1" applyBorder="1" applyAlignment="1">
      <alignment horizontal="left" vertical="center"/>
    </xf>
    <xf numFmtId="176" fontId="25" fillId="0" borderId="25" xfId="0" applyNumberFormat="1" applyFont="1" applyFill="1" applyBorder="1" applyAlignment="1">
      <alignment horizontal="center" vertical="center" wrapText="1"/>
    </xf>
    <xf numFmtId="0" fontId="0" fillId="0" borderId="0" xfId="0" applyFont="1" applyFill="1" applyBorder="1" applyAlignment="1">
      <alignment horizontal="distributed" vertical="center" wrapText="1" justifyLastLine="1"/>
    </xf>
    <xf numFmtId="176" fontId="25" fillId="0" borderId="22" xfId="0" applyNumberFormat="1" applyFont="1" applyFill="1" applyBorder="1" applyAlignment="1">
      <alignment horizontal="center" vertical="center"/>
    </xf>
    <xf numFmtId="192" fontId="33" fillId="0" borderId="123" xfId="0" applyNumberFormat="1" applyFont="1" applyFill="1" applyBorder="1" applyAlignment="1">
      <alignment horizontal="distributed" vertical="center" justifyLastLine="1"/>
    </xf>
    <xf numFmtId="0" fontId="33" fillId="0" borderId="139" xfId="0" applyFont="1" applyFill="1" applyBorder="1" applyAlignment="1">
      <alignment vertical="center"/>
    </xf>
    <xf numFmtId="0" fontId="0" fillId="0" borderId="144" xfId="0" applyFont="1" applyFill="1" applyBorder="1" applyAlignment="1">
      <alignment vertical="center"/>
    </xf>
    <xf numFmtId="0" fontId="0" fillId="0" borderId="141" xfId="0" applyFont="1" applyFill="1" applyBorder="1" applyAlignment="1">
      <alignment vertical="center"/>
    </xf>
    <xf numFmtId="0" fontId="0" fillId="0" borderId="145" xfId="0" applyFont="1" applyFill="1" applyBorder="1" applyAlignment="1">
      <alignment vertical="center"/>
    </xf>
    <xf numFmtId="0" fontId="33" fillId="0" borderId="143" xfId="0" applyFont="1" applyFill="1" applyBorder="1" applyAlignment="1">
      <alignment horizontal="distributed" vertical="center"/>
    </xf>
    <xf numFmtId="0" fontId="0" fillId="0" borderId="23" xfId="0" applyFont="1" applyFill="1" applyBorder="1" applyAlignment="1">
      <alignment horizontal="distributed" vertical="center"/>
    </xf>
    <xf numFmtId="0" fontId="0" fillId="0" borderId="95" xfId="0" applyFont="1" applyFill="1" applyBorder="1" applyAlignment="1">
      <alignment horizontal="distributed" vertical="center"/>
    </xf>
    <xf numFmtId="0" fontId="0" fillId="0" borderId="26" xfId="0" applyFont="1" applyFill="1" applyBorder="1" applyAlignment="1">
      <alignment horizontal="distributed" vertical="center"/>
    </xf>
    <xf numFmtId="0" fontId="33" fillId="0" borderId="143" xfId="0" applyFont="1" applyFill="1" applyBorder="1" applyAlignment="1">
      <alignment horizontal="distributed" vertical="center" wrapText="1"/>
    </xf>
    <xf numFmtId="0" fontId="0" fillId="0" borderId="33" xfId="0" applyFont="1" applyFill="1" applyBorder="1" applyAlignment="1">
      <alignment horizontal="distributed" vertical="center"/>
    </xf>
    <xf numFmtId="0" fontId="0" fillId="0" borderId="146" xfId="0" applyFont="1" applyFill="1" applyBorder="1" applyAlignment="1">
      <alignment horizontal="distributed" vertical="center"/>
    </xf>
    <xf numFmtId="0" fontId="33" fillId="0" borderId="138" xfId="0" applyFont="1" applyFill="1" applyBorder="1" applyAlignment="1">
      <alignment horizontal="center" vertical="center"/>
    </xf>
    <xf numFmtId="0" fontId="0" fillId="0" borderId="0" xfId="0" applyFont="1" applyFill="1" applyBorder="1" applyAlignment="1">
      <alignment horizontal="distributed" vertical="center" wrapText="1"/>
    </xf>
    <xf numFmtId="0" fontId="0" fillId="0" borderId="0"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34" xfId="0" applyFont="1" applyFill="1" applyBorder="1" applyAlignment="1">
      <alignment horizontal="distributed" vertical="center"/>
    </xf>
    <xf numFmtId="0" fontId="33" fillId="0" borderId="93" xfId="0" applyFont="1" applyFill="1" applyBorder="1" applyAlignment="1">
      <alignment horizontal="center" vertical="center"/>
    </xf>
    <xf numFmtId="0" fontId="33" fillId="0" borderId="169" xfId="0" applyFont="1" applyFill="1" applyBorder="1" applyAlignment="1">
      <alignment horizontal="center" vertical="center"/>
    </xf>
    <xf numFmtId="0" fontId="33" fillId="0" borderId="26" xfId="0" applyFont="1" applyFill="1" applyBorder="1" applyAlignment="1">
      <alignment horizontal="center" vertical="center"/>
    </xf>
    <xf numFmtId="220" fontId="45" fillId="0" borderId="73" xfId="0" applyNumberFormat="1" applyFont="1" applyFill="1" applyBorder="1" applyAlignment="1">
      <alignment horizontal="center" vertical="center"/>
    </xf>
    <xf numFmtId="220" fontId="45" fillId="0" borderId="74" xfId="0" applyNumberFormat="1" applyFont="1" applyFill="1" applyBorder="1" applyAlignment="1">
      <alignment horizontal="center" vertical="center"/>
    </xf>
    <xf numFmtId="0" fontId="0" fillId="0" borderId="140" xfId="0" applyFont="1" applyFill="1" applyBorder="1" applyAlignment="1">
      <alignment vertical="center"/>
    </xf>
    <xf numFmtId="0" fontId="0" fillId="0" borderId="142" xfId="0" applyFont="1" applyFill="1" applyBorder="1" applyAlignment="1">
      <alignment vertical="center"/>
    </xf>
    <xf numFmtId="0" fontId="0" fillId="0" borderId="25" xfId="0" applyFont="1" applyFill="1" applyBorder="1" applyAlignment="1">
      <alignment horizontal="distributed" vertical="center"/>
    </xf>
    <xf numFmtId="0" fontId="25" fillId="0" borderId="143" xfId="0" applyFont="1" applyFill="1" applyBorder="1" applyAlignment="1">
      <alignment horizontal="distributed" vertical="center"/>
    </xf>
    <xf numFmtId="0" fontId="25" fillId="0" borderId="22" xfId="0" applyFont="1" applyFill="1" applyBorder="1" applyAlignment="1">
      <alignment horizontal="distributed" vertical="center"/>
    </xf>
    <xf numFmtId="0" fontId="25" fillId="0" borderId="95" xfId="0" applyFont="1" applyFill="1" applyBorder="1" applyAlignment="1">
      <alignment horizontal="distributed" vertical="center"/>
    </xf>
    <xf numFmtId="0" fontId="25" fillId="0" borderId="25" xfId="0" applyFont="1" applyFill="1" applyBorder="1" applyAlignment="1">
      <alignment horizontal="distributed" vertical="center"/>
    </xf>
    <xf numFmtId="176" fontId="27" fillId="0" borderId="0" xfId="0" applyNumberFormat="1" applyFont="1" applyFill="1" applyAlignment="1">
      <alignment horizontal="center" vertical="center"/>
    </xf>
    <xf numFmtId="186" fontId="27" fillId="0" borderId="0" xfId="0" applyNumberFormat="1" applyFont="1" applyFill="1">
      <alignment vertical="center"/>
    </xf>
    <xf numFmtId="49" fontId="27" fillId="0" borderId="0" xfId="0" applyNumberFormat="1" applyFont="1" applyFill="1" applyAlignment="1">
      <alignment horizontal="left" vertical="center"/>
    </xf>
    <xf numFmtId="49" fontId="27" fillId="0" borderId="0" xfId="0" applyNumberFormat="1" applyFont="1" applyFill="1" applyAlignment="1">
      <alignment horizontal="center" vertical="center"/>
    </xf>
    <xf numFmtId="179" fontId="28" fillId="0" borderId="0" xfId="0" applyNumberFormat="1" applyFont="1" applyFill="1">
      <alignment vertical="center"/>
    </xf>
    <xf numFmtId="176" fontId="27" fillId="0" borderId="25" xfId="0" applyNumberFormat="1" applyFont="1" applyFill="1" applyBorder="1" applyAlignment="1">
      <alignment horizontal="center" vertical="center"/>
    </xf>
    <xf numFmtId="178" fontId="27" fillId="0" borderId="25" xfId="0" applyNumberFormat="1" applyFont="1" applyFill="1" applyBorder="1" applyAlignment="1">
      <alignment horizontal="distributed" vertical="center" justifyLastLine="1"/>
    </xf>
    <xf numFmtId="178" fontId="27" fillId="0" borderId="0" xfId="0" applyNumberFormat="1" applyFont="1" applyFill="1" applyAlignment="1">
      <alignment horizontal="distributed" vertical="center" justifyLastLine="1"/>
    </xf>
    <xf numFmtId="0" fontId="28" fillId="0" borderId="100" xfId="0" applyFont="1" applyFill="1" applyBorder="1" applyAlignment="1">
      <alignment horizontal="distributed" vertical="center" justifyLastLine="1"/>
    </xf>
    <xf numFmtId="0" fontId="28" fillId="0" borderId="98" xfId="0" applyFont="1" applyFill="1" applyBorder="1" applyAlignment="1">
      <alignment horizontal="distributed" vertical="center" justifyLastLine="1"/>
    </xf>
    <xf numFmtId="178" fontId="28" fillId="0" borderId="100" xfId="0" applyNumberFormat="1" applyFont="1" applyFill="1" applyBorder="1">
      <alignment vertical="center"/>
    </xf>
    <xf numFmtId="178" fontId="28" fillId="0" borderId="98" xfId="0" applyNumberFormat="1" applyFont="1" applyFill="1" applyBorder="1">
      <alignment vertical="center"/>
    </xf>
    <xf numFmtId="0" fontId="24" fillId="0" borderId="0" xfId="0" applyFont="1" applyFill="1" applyAlignment="1">
      <alignment vertical="center"/>
    </xf>
    <xf numFmtId="0" fontId="27" fillId="0" borderId="0" xfId="0" applyFont="1" applyFill="1" applyBorder="1" applyAlignment="1">
      <alignment horizontal="distributed" vertical="center" justifyLastLine="1"/>
    </xf>
    <xf numFmtId="178" fontId="69" fillId="0" borderId="11" xfId="0" applyNumberFormat="1" applyFont="1" applyFill="1" applyBorder="1" applyAlignment="1">
      <alignment horizontal="distributed" vertical="center" indent="1"/>
    </xf>
    <xf numFmtId="179" fontId="27" fillId="0" borderId="0" xfId="0" applyNumberFormat="1" applyFont="1" applyFill="1">
      <alignment vertical="center"/>
    </xf>
    <xf numFmtId="176" fontId="27" fillId="0" borderId="25" xfId="0" applyNumberFormat="1" applyFont="1" applyFill="1" applyBorder="1" applyAlignment="1">
      <alignment horizontal="distributed" vertical="center" justifyLastLine="1"/>
    </xf>
    <xf numFmtId="176" fontId="27" fillId="0" borderId="22" xfId="0" applyNumberFormat="1" applyFont="1" applyFill="1" applyBorder="1" applyAlignment="1">
      <alignment horizontal="distributed" vertical="center" justifyLastLine="1"/>
    </xf>
    <xf numFmtId="178" fontId="27" fillId="0" borderId="11" xfId="0" applyNumberFormat="1" applyFont="1" applyFill="1" applyBorder="1" applyAlignment="1">
      <alignment horizontal="distributed" vertical="center" indent="1"/>
    </xf>
    <xf numFmtId="178" fontId="27" fillId="0" borderId="11" xfId="0" applyNumberFormat="1" applyFont="1" applyFill="1" applyBorder="1" applyAlignment="1">
      <alignment horizontal="center" vertical="center" shrinkToFit="1"/>
    </xf>
    <xf numFmtId="179" fontId="61" fillId="0" borderId="0" xfId="0" applyNumberFormat="1" applyFont="1" applyFill="1">
      <alignment vertical="center"/>
    </xf>
    <xf numFmtId="176" fontId="61" fillId="0" borderId="25" xfId="0" applyNumberFormat="1" applyFont="1" applyFill="1" applyBorder="1" applyAlignment="1">
      <alignment horizontal="distributed" vertical="center" justifyLastLine="1"/>
    </xf>
    <xf numFmtId="176" fontId="61" fillId="0" borderId="22" xfId="0" applyNumberFormat="1" applyFont="1" applyFill="1" applyBorder="1" applyAlignment="1">
      <alignment horizontal="distributed" vertical="center" justifyLastLine="1"/>
    </xf>
    <xf numFmtId="176" fontId="61" fillId="0" borderId="0" xfId="0" applyNumberFormat="1" applyFont="1" applyFill="1" applyAlignment="1">
      <alignment horizontal="center" vertical="center"/>
    </xf>
    <xf numFmtId="0" fontId="64" fillId="0" borderId="0" xfId="0" applyFont="1" applyFill="1" applyAlignment="1">
      <alignment vertical="center"/>
    </xf>
    <xf numFmtId="0" fontId="61" fillId="0" borderId="0" xfId="0" applyFont="1" applyFill="1" applyBorder="1" applyAlignment="1">
      <alignment horizontal="distributed" vertical="center" justifyLastLine="1"/>
    </xf>
    <xf numFmtId="0" fontId="63" fillId="0" borderId="100" xfId="0" applyFont="1" applyFill="1" applyBorder="1" applyAlignment="1">
      <alignment horizontal="distributed" vertical="center" justifyLastLine="1"/>
    </xf>
    <xf numFmtId="0" fontId="63" fillId="0" borderId="98" xfId="0" applyFont="1" applyFill="1" applyBorder="1" applyAlignment="1">
      <alignment horizontal="distributed" vertical="center" justifyLastLine="1"/>
    </xf>
    <xf numFmtId="178" fontId="63" fillId="0" borderId="100" xfId="0" applyNumberFormat="1" applyFont="1" applyFill="1" applyBorder="1">
      <alignment vertical="center"/>
    </xf>
    <xf numFmtId="178" fontId="63" fillId="0" borderId="98" xfId="0" applyNumberFormat="1" applyFont="1" applyFill="1" applyBorder="1">
      <alignment vertical="center"/>
    </xf>
    <xf numFmtId="176" fontId="27" fillId="0" borderId="0" xfId="0" applyNumberFormat="1" applyFont="1" applyFill="1" applyBorder="1" applyAlignment="1">
      <alignment horizontal="left" vertical="center" shrinkToFit="1"/>
    </xf>
    <xf numFmtId="0" fontId="32" fillId="0" borderId="100" xfId="0" applyFont="1" applyFill="1" applyBorder="1" applyAlignment="1" applyProtection="1">
      <alignment horizontal="center" vertical="center" wrapText="1"/>
      <protection locked="0"/>
    </xf>
    <xf numFmtId="0" fontId="32" fillId="0" borderId="98" xfId="0" applyFont="1" applyFill="1" applyBorder="1" applyAlignment="1" applyProtection="1">
      <alignment horizontal="center" vertical="center" wrapText="1"/>
      <protection locked="0"/>
    </xf>
    <xf numFmtId="176" fontId="32" fillId="0" borderId="0" xfId="0" applyNumberFormat="1" applyFont="1" applyFill="1" applyBorder="1" applyAlignment="1">
      <alignment horizontal="distributed" vertical="center"/>
    </xf>
    <xf numFmtId="0" fontId="32" fillId="0" borderId="155" xfId="0" applyFont="1" applyFill="1" applyBorder="1" applyAlignment="1" applyProtection="1">
      <alignment horizontal="center" vertical="center"/>
      <protection locked="0"/>
    </xf>
    <xf numFmtId="0" fontId="32" fillId="0" borderId="157" xfId="0" applyFont="1" applyFill="1" applyBorder="1" applyAlignment="1" applyProtection="1">
      <alignment horizontal="center" vertical="center"/>
      <protection locked="0"/>
    </xf>
    <xf numFmtId="0" fontId="32" fillId="0" borderId="0" xfId="0" applyFont="1" applyFill="1" applyBorder="1" applyAlignment="1">
      <alignment horizontal="distributed" vertical="center" indent="1"/>
    </xf>
    <xf numFmtId="180" fontId="27" fillId="0" borderId="67" xfId="0" applyNumberFormat="1" applyFont="1" applyFill="1" applyBorder="1" applyAlignment="1" applyProtection="1">
      <alignment horizontal="center" vertical="center" wrapText="1"/>
      <protection locked="0"/>
    </xf>
    <xf numFmtId="180" fontId="27" fillId="0" borderId="23" xfId="0" applyNumberFormat="1" applyFont="1" applyFill="1" applyBorder="1" applyAlignment="1" applyProtection="1">
      <alignment horizontal="center" vertical="center" wrapText="1"/>
      <protection locked="0"/>
    </xf>
    <xf numFmtId="0" fontId="32" fillId="0" borderId="73" xfId="0" applyFont="1" applyFill="1" applyBorder="1" applyAlignment="1" applyProtection="1">
      <alignment horizontal="center" vertical="center"/>
      <protection locked="0"/>
    </xf>
    <xf numFmtId="0" fontId="32" fillId="0" borderId="151" xfId="0" applyFont="1" applyFill="1" applyBorder="1" applyAlignment="1" applyProtection="1">
      <alignment horizontal="center" vertical="center"/>
      <protection locked="0"/>
    </xf>
    <xf numFmtId="180" fontId="27" fillId="0" borderId="92" xfId="0" applyNumberFormat="1" applyFont="1" applyFill="1" applyBorder="1" applyAlignment="1" applyProtection="1">
      <alignment horizontal="center" vertical="center" wrapText="1"/>
      <protection locked="0"/>
    </xf>
    <xf numFmtId="180" fontId="27" fillId="0" borderId="113" xfId="0" applyNumberFormat="1" applyFont="1" applyFill="1" applyBorder="1" applyAlignment="1" applyProtection="1">
      <alignment horizontal="center" vertical="center" wrapText="1"/>
      <protection locked="0"/>
    </xf>
    <xf numFmtId="180" fontId="27" fillId="0" borderId="47" xfId="0" applyNumberFormat="1" applyFont="1" applyFill="1" applyBorder="1" applyAlignment="1" applyProtection="1">
      <alignment horizontal="center" vertical="center" wrapText="1"/>
      <protection locked="0"/>
    </xf>
    <xf numFmtId="180" fontId="27" fillId="0" borderId="69" xfId="0" applyNumberFormat="1" applyFont="1" applyFill="1" applyBorder="1" applyAlignment="1" applyProtection="1">
      <alignment horizontal="center" vertical="center" wrapText="1"/>
      <protection locked="0"/>
    </xf>
    <xf numFmtId="0" fontId="30" fillId="0" borderId="0" xfId="0" applyFont="1" applyFill="1" applyAlignment="1">
      <alignment vertical="center"/>
    </xf>
    <xf numFmtId="0" fontId="32" fillId="0" borderId="0" xfId="0" applyFont="1" applyFill="1" applyBorder="1" applyAlignment="1">
      <alignment horizontal="distributed" vertical="center" justifyLastLine="1"/>
    </xf>
    <xf numFmtId="0" fontId="42" fillId="0" borderId="156" xfId="0" applyFont="1" applyFill="1" applyBorder="1" applyAlignment="1">
      <alignment horizontal="center" vertical="center"/>
    </xf>
    <xf numFmtId="0" fontId="32" fillId="0" borderId="74" xfId="0" applyFont="1" applyFill="1" applyBorder="1" applyAlignment="1" applyProtection="1">
      <alignment horizontal="center" vertical="center"/>
      <protection locked="0"/>
    </xf>
    <xf numFmtId="176" fontId="32" fillId="0" borderId="22" xfId="0" applyNumberFormat="1" applyFont="1" applyFill="1" applyBorder="1" applyAlignment="1">
      <alignment horizontal="distributed" vertical="center" indent="4"/>
    </xf>
    <xf numFmtId="176" fontId="32" fillId="0" borderId="0" xfId="0" applyNumberFormat="1" applyFont="1" applyFill="1" applyBorder="1" applyAlignment="1">
      <alignment horizontal="distributed" vertical="center" indent="3"/>
    </xf>
    <xf numFmtId="0" fontId="26" fillId="0" borderId="58" xfId="0" applyFont="1" applyFill="1" applyBorder="1" applyAlignment="1">
      <alignment horizontal="center" vertical="center" shrinkToFit="1"/>
    </xf>
    <xf numFmtId="0" fontId="26" fillId="0" borderId="60" xfId="0" applyFont="1" applyFill="1" applyBorder="1" applyAlignment="1">
      <alignment horizontal="center" vertical="center" shrinkToFit="1"/>
    </xf>
    <xf numFmtId="0" fontId="32" fillId="0" borderId="0" xfId="0" applyFont="1" applyFill="1" applyBorder="1" applyAlignment="1">
      <alignment horizontal="right" vertical="center"/>
    </xf>
    <xf numFmtId="0" fontId="32" fillId="0" borderId="25" xfId="0" applyFont="1" applyFill="1" applyBorder="1" applyAlignment="1">
      <alignment horizontal="distributed" vertical="center" indent="1"/>
    </xf>
    <xf numFmtId="0" fontId="32" fillId="0" borderId="22" xfId="0" applyFont="1" applyFill="1" applyBorder="1" applyAlignment="1">
      <alignment horizontal="distributed" vertical="center" indent="1"/>
    </xf>
    <xf numFmtId="182" fontId="35" fillId="0" borderId="0" xfId="0" applyNumberFormat="1" applyFont="1" applyFill="1" applyBorder="1" applyAlignment="1">
      <alignment horizontal="center" vertical="center"/>
    </xf>
    <xf numFmtId="49" fontId="32" fillId="0" borderId="0" xfId="0" applyNumberFormat="1" applyFont="1" applyFill="1" applyBorder="1" applyAlignment="1">
      <alignment horizontal="right" vertical="center" justifyLastLine="1"/>
    </xf>
    <xf numFmtId="176" fontId="32" fillId="0" borderId="25" xfId="0" applyNumberFormat="1" applyFont="1" applyFill="1" applyBorder="1" applyAlignment="1">
      <alignment horizontal="center" vertical="center"/>
    </xf>
    <xf numFmtId="176" fontId="32" fillId="0" borderId="22" xfId="0" applyNumberFormat="1" applyFont="1" applyFill="1" applyBorder="1" applyAlignment="1">
      <alignment horizontal="center" vertical="center"/>
    </xf>
    <xf numFmtId="176" fontId="32" fillId="0" borderId="0" xfId="0" applyNumberFormat="1" applyFont="1" applyFill="1" applyBorder="1" applyAlignment="1">
      <alignment horizontal="left" vertical="center"/>
    </xf>
    <xf numFmtId="0" fontId="26" fillId="0" borderId="48" xfId="0" applyFont="1" applyFill="1" applyBorder="1" applyAlignment="1">
      <alignment horizontal="distributed" vertical="center" shrinkToFit="1"/>
    </xf>
    <xf numFmtId="0" fontId="26" fillId="0" borderId="50" xfId="0" applyFont="1" applyFill="1" applyBorder="1" applyAlignment="1">
      <alignment horizontal="distributed" vertical="center" shrinkToFit="1"/>
    </xf>
    <xf numFmtId="188" fontId="32" fillId="0" borderId="0" xfId="0" applyNumberFormat="1" applyFont="1" applyFill="1" applyBorder="1" applyAlignment="1">
      <alignment vertical="center"/>
    </xf>
    <xf numFmtId="176" fontId="32" fillId="0" borderId="0" xfId="0" applyNumberFormat="1" applyFont="1" applyFill="1" applyBorder="1">
      <alignment vertical="center"/>
    </xf>
    <xf numFmtId="188" fontId="76" fillId="0" borderId="0" xfId="0" applyNumberFormat="1" applyFont="1" applyFill="1" applyBorder="1" applyAlignment="1">
      <alignment vertical="center"/>
    </xf>
    <xf numFmtId="180" fontId="72" fillId="0" borderId="47" xfId="0" applyNumberFormat="1" applyFont="1" applyFill="1" applyBorder="1" applyAlignment="1" applyProtection="1">
      <alignment horizontal="center" vertical="center" wrapText="1"/>
      <protection locked="0"/>
    </xf>
    <xf numFmtId="180" fontId="72" fillId="0" borderId="69" xfId="0" applyNumberFormat="1" applyFont="1" applyFill="1" applyBorder="1" applyAlignment="1" applyProtection="1">
      <alignment horizontal="center" vertical="center" wrapText="1"/>
      <protection locked="0"/>
    </xf>
    <xf numFmtId="180" fontId="27" fillId="0" borderId="73" xfId="0" applyNumberFormat="1" applyFont="1" applyFill="1" applyBorder="1" applyAlignment="1" applyProtection="1">
      <alignment horizontal="center" vertical="center" wrapText="1"/>
      <protection locked="0"/>
    </xf>
    <xf numFmtId="180" fontId="27" fillId="0" borderId="151" xfId="0" applyNumberFormat="1" applyFont="1" applyFill="1" applyBorder="1" applyAlignment="1" applyProtection="1">
      <alignment horizontal="center" vertical="center" wrapText="1"/>
      <protection locked="0"/>
    </xf>
    <xf numFmtId="180" fontId="27" fillId="0" borderId="138" xfId="0" applyNumberFormat="1" applyFont="1" applyFill="1" applyBorder="1" applyAlignment="1" applyProtection="1">
      <alignment horizontal="center" vertical="center" wrapText="1"/>
      <protection locked="0"/>
    </xf>
    <xf numFmtId="180" fontId="27" fillId="0" borderId="93" xfId="0" applyNumberFormat="1" applyFont="1" applyFill="1" applyBorder="1" applyAlignment="1" applyProtection="1">
      <alignment horizontal="center" vertical="center" wrapText="1"/>
      <protection locked="0"/>
    </xf>
    <xf numFmtId="180" fontId="27" fillId="0" borderId="152" xfId="0" applyNumberFormat="1" applyFont="1" applyFill="1" applyBorder="1" applyAlignment="1" applyProtection="1">
      <alignment horizontal="center" vertical="center" wrapText="1"/>
      <protection locked="0"/>
    </xf>
    <xf numFmtId="180" fontId="32" fillId="0" borderId="0" xfId="0" applyNumberFormat="1" applyFont="1" applyFill="1" applyBorder="1" applyAlignment="1" applyProtection="1">
      <alignment horizontal="distributed" vertical="center" wrapText="1"/>
      <protection locked="0"/>
    </xf>
    <xf numFmtId="187" fontId="30" fillId="0" borderId="73" xfId="0" applyNumberFormat="1" applyFont="1" applyFill="1" applyBorder="1" applyAlignment="1" applyProtection="1">
      <alignment horizontal="right" vertical="center"/>
    </xf>
    <xf numFmtId="187" fontId="30" fillId="0" borderId="151" xfId="0" applyNumberFormat="1" applyFont="1" applyFill="1" applyBorder="1" applyAlignment="1" applyProtection="1">
      <alignment horizontal="right" vertical="center"/>
    </xf>
    <xf numFmtId="187" fontId="30" fillId="0" borderId="74" xfId="0" applyNumberFormat="1" applyFont="1" applyFill="1" applyBorder="1" applyAlignment="1" applyProtection="1">
      <alignment horizontal="right" vertical="center"/>
    </xf>
    <xf numFmtId="0" fontId="32" fillId="0" borderId="153" xfId="0" applyFont="1" applyFill="1" applyBorder="1" applyAlignment="1" applyProtection="1">
      <alignment horizontal="center" vertical="center"/>
      <protection locked="0"/>
    </xf>
    <xf numFmtId="0" fontId="32" fillId="0" borderId="154" xfId="0" applyFont="1" applyFill="1" applyBorder="1" applyAlignment="1" applyProtection="1">
      <alignment horizontal="center" vertical="center"/>
      <protection locked="0"/>
    </xf>
    <xf numFmtId="0" fontId="32" fillId="0" borderId="73" xfId="0" applyFont="1" applyFill="1" applyBorder="1" applyAlignment="1" applyProtection="1">
      <alignment horizontal="center" vertical="center" wrapText="1"/>
      <protection locked="0"/>
    </xf>
    <xf numFmtId="0" fontId="32" fillId="0" borderId="74" xfId="0" applyFont="1" applyFill="1" applyBorder="1" applyAlignment="1" applyProtection="1">
      <alignment horizontal="center" vertical="center" wrapText="1"/>
      <protection locked="0"/>
    </xf>
    <xf numFmtId="176" fontId="76" fillId="0" borderId="0" xfId="0" applyNumberFormat="1" applyFont="1" applyFill="1" applyBorder="1">
      <alignment vertical="center"/>
    </xf>
    <xf numFmtId="193" fontId="26" fillId="0" borderId="122" xfId="0" applyNumberFormat="1" applyFont="1" applyFill="1" applyBorder="1" applyAlignment="1">
      <alignment vertical="center"/>
    </xf>
    <xf numFmtId="193" fontId="26" fillId="0" borderId="150" xfId="0" applyNumberFormat="1" applyFont="1" applyFill="1" applyBorder="1" applyAlignment="1">
      <alignment vertical="center"/>
    </xf>
    <xf numFmtId="193" fontId="26" fillId="0" borderId="116" xfId="0" applyNumberFormat="1" applyFont="1" applyFill="1" applyBorder="1" applyAlignment="1">
      <alignment vertical="center"/>
    </xf>
    <xf numFmtId="193" fontId="26" fillId="0" borderId="72" xfId="0" applyNumberFormat="1" applyFont="1" applyFill="1" applyBorder="1" applyAlignment="1">
      <alignment vertical="center"/>
    </xf>
    <xf numFmtId="193" fontId="26" fillId="0" borderId="148" xfId="0" applyNumberFormat="1" applyFont="1" applyFill="1" applyBorder="1" applyAlignment="1">
      <alignment vertical="center"/>
    </xf>
    <xf numFmtId="193" fontId="26" fillId="0" borderId="114" xfId="0" applyNumberFormat="1" applyFont="1" applyFill="1" applyBorder="1" applyAlignment="1">
      <alignment vertical="center"/>
    </xf>
    <xf numFmtId="176" fontId="78" fillId="0" borderId="0" xfId="0" applyNumberFormat="1" applyFont="1" applyFill="1" applyBorder="1">
      <alignment vertical="center"/>
    </xf>
    <xf numFmtId="0" fontId="69" fillId="28" borderId="0" xfId="0" applyFont="1" applyFill="1" applyBorder="1" applyAlignment="1">
      <alignment horizontal="distributed" vertical="center" justifyLastLine="1"/>
    </xf>
    <xf numFmtId="38" fontId="27" fillId="28" borderId="21" xfId="35" applyFont="1" applyFill="1" applyBorder="1">
      <alignment vertical="center"/>
    </xf>
    <xf numFmtId="38" fontId="27" fillId="28" borderId="19" xfId="35" applyFont="1" applyFill="1" applyBorder="1">
      <alignment vertical="center"/>
    </xf>
    <xf numFmtId="38" fontId="27" fillId="28" borderId="24" xfId="35" applyFont="1" applyFill="1" applyBorder="1">
      <alignment vertical="center"/>
    </xf>
    <xf numFmtId="38" fontId="27" fillId="0" borderId="21" xfId="35" applyFont="1" applyFill="1" applyBorder="1">
      <alignment vertical="center"/>
    </xf>
    <xf numFmtId="38" fontId="27" fillId="0" borderId="19" xfId="35" applyFont="1" applyFill="1" applyBorder="1">
      <alignment vertical="center"/>
    </xf>
    <xf numFmtId="38" fontId="27" fillId="0" borderId="24" xfId="35" applyFont="1" applyFill="1" applyBorder="1">
      <alignment vertical="center"/>
    </xf>
    <xf numFmtId="176" fontId="23" fillId="0" borderId="73" xfId="0" applyNumberFormat="1" applyFont="1" applyFill="1" applyBorder="1" applyAlignment="1">
      <alignment horizontal="distributed" vertical="center" wrapText="1"/>
    </xf>
    <xf numFmtId="176" fontId="23" fillId="0" borderId="74" xfId="0" applyNumberFormat="1" applyFont="1" applyFill="1" applyBorder="1" applyAlignment="1">
      <alignment horizontal="distributed" vertical="center" wrapText="1"/>
    </xf>
    <xf numFmtId="176" fontId="27" fillId="0" borderId="91" xfId="0" applyNumberFormat="1" applyFont="1" applyFill="1" applyBorder="1" applyAlignment="1">
      <alignment horizontal="distributed" vertical="center" wrapText="1"/>
    </xf>
    <xf numFmtId="176" fontId="27" fillId="0" borderId="165" xfId="0" applyNumberFormat="1" applyFont="1" applyFill="1" applyBorder="1" applyAlignment="1">
      <alignment horizontal="distributed" vertical="center" wrapText="1"/>
    </xf>
    <xf numFmtId="176" fontId="27" fillId="0" borderId="59" xfId="0" applyNumberFormat="1" applyFont="1" applyFill="1" applyBorder="1" applyAlignment="1">
      <alignment horizontal="distributed" vertical="center" wrapText="1" justifyLastLine="1"/>
    </xf>
    <xf numFmtId="176" fontId="27" fillId="0" borderId="166" xfId="0" applyNumberFormat="1" applyFont="1" applyFill="1" applyBorder="1" applyAlignment="1">
      <alignment horizontal="distributed" vertical="center" justifyLastLine="1"/>
    </xf>
    <xf numFmtId="176" fontId="27" fillId="0" borderId="67" xfId="0" applyNumberFormat="1" applyFont="1" applyFill="1" applyBorder="1" applyAlignment="1">
      <alignment horizontal="distributed" vertical="center" justifyLastLine="1"/>
    </xf>
    <xf numFmtId="176" fontId="27" fillId="0" borderId="93" xfId="0" applyNumberFormat="1" applyFont="1" applyFill="1" applyBorder="1" applyAlignment="1">
      <alignment horizontal="distributed" vertical="center" justifyLastLine="1"/>
    </xf>
    <xf numFmtId="176" fontId="72" fillId="0" borderId="131" xfId="0" applyNumberFormat="1" applyFont="1" applyFill="1" applyBorder="1" applyAlignment="1">
      <alignment horizontal="distributed" vertical="center"/>
    </xf>
    <xf numFmtId="176" fontId="72" fillId="0" borderId="167" xfId="0" applyNumberFormat="1" applyFont="1" applyFill="1" applyBorder="1" applyAlignment="1">
      <alignment horizontal="distributed" vertical="center"/>
    </xf>
    <xf numFmtId="38" fontId="69" fillId="0" borderId="69" xfId="35" applyFont="1" applyFill="1" applyBorder="1">
      <alignment vertical="center"/>
    </xf>
    <xf numFmtId="38" fontId="69" fillId="0" borderId="138" xfId="35" applyFont="1" applyFill="1" applyBorder="1">
      <alignment vertical="center"/>
    </xf>
    <xf numFmtId="38" fontId="69" fillId="0" borderId="94" xfId="35" applyFont="1" applyFill="1" applyBorder="1">
      <alignment vertical="center"/>
    </xf>
    <xf numFmtId="185" fontId="27" fillId="0" borderId="69" xfId="0" applyNumberFormat="1" applyFont="1" applyFill="1" applyBorder="1">
      <alignment vertical="center"/>
    </xf>
    <xf numFmtId="185" fontId="27" fillId="0" borderId="138" xfId="0" applyNumberFormat="1" applyFont="1" applyFill="1" applyBorder="1">
      <alignment vertical="center"/>
    </xf>
    <xf numFmtId="185" fontId="27" fillId="0" borderId="94" xfId="0" applyNumberFormat="1" applyFont="1" applyFill="1" applyBorder="1">
      <alignment vertical="center"/>
    </xf>
    <xf numFmtId="176" fontId="27" fillId="0" borderId="160" xfId="0" applyNumberFormat="1" applyFont="1" applyFill="1" applyBorder="1">
      <alignment vertical="center"/>
    </xf>
    <xf numFmtId="176" fontId="27" fillId="0" borderId="161" xfId="0" applyNumberFormat="1" applyFont="1" applyFill="1" applyBorder="1">
      <alignment vertical="center"/>
    </xf>
    <xf numFmtId="176" fontId="27" fillId="0" borderId="162" xfId="0" applyNumberFormat="1" applyFont="1" applyFill="1" applyBorder="1">
      <alignment vertical="center"/>
    </xf>
    <xf numFmtId="176" fontId="27" fillId="0" borderId="163" xfId="0" applyNumberFormat="1" applyFont="1" applyFill="1" applyBorder="1">
      <alignment vertical="center"/>
    </xf>
    <xf numFmtId="176" fontId="27" fillId="0" borderId="136" xfId="0" applyNumberFormat="1" applyFont="1" applyFill="1" applyBorder="1">
      <alignment vertical="center"/>
    </xf>
    <xf numFmtId="176" fontId="27" fillId="0" borderId="11" xfId="0" applyNumberFormat="1" applyFont="1" applyFill="1" applyBorder="1">
      <alignment vertical="center"/>
    </xf>
    <xf numFmtId="176" fontId="27" fillId="0" borderId="61" xfId="0" applyNumberFormat="1" applyFont="1" applyFill="1" applyBorder="1">
      <alignment vertical="center"/>
    </xf>
    <xf numFmtId="176" fontId="27" fillId="0" borderId="159" xfId="0" applyNumberFormat="1" applyFont="1" applyFill="1" applyBorder="1" applyAlignment="1">
      <alignment vertical="center" shrinkToFit="1"/>
    </xf>
    <xf numFmtId="176" fontId="27" fillId="0" borderId="83" xfId="0" applyNumberFormat="1" applyFont="1" applyFill="1" applyBorder="1" applyAlignment="1">
      <alignment vertical="center" shrinkToFit="1"/>
    </xf>
    <xf numFmtId="176" fontId="27" fillId="0" borderId="58" xfId="0" applyNumberFormat="1" applyFont="1" applyFill="1" applyBorder="1" applyAlignment="1">
      <alignment horizontal="center" vertical="center"/>
    </xf>
    <xf numFmtId="176" fontId="27" fillId="0" borderId="47" xfId="0" applyNumberFormat="1" applyFont="1" applyFill="1" applyBorder="1" applyAlignment="1">
      <alignment horizontal="center" vertical="center"/>
    </xf>
    <xf numFmtId="176" fontId="27" fillId="0" borderId="59" xfId="0" applyNumberFormat="1" applyFont="1" applyFill="1" applyBorder="1" applyAlignment="1">
      <alignment horizontal="center" vertical="center"/>
    </xf>
    <xf numFmtId="176" fontId="27" fillId="0" borderId="11" xfId="0" applyNumberFormat="1" applyFont="1" applyFill="1" applyBorder="1" applyAlignment="1">
      <alignment horizontal="center" vertical="center"/>
    </xf>
    <xf numFmtId="178" fontId="27" fillId="0" borderId="11" xfId="0" applyNumberFormat="1" applyFont="1" applyFill="1" applyBorder="1" applyAlignment="1">
      <alignment horizontal="center" vertical="center"/>
    </xf>
    <xf numFmtId="178" fontId="27" fillId="0" borderId="69" xfId="0" applyNumberFormat="1" applyFont="1" applyFill="1" applyBorder="1" applyAlignment="1">
      <alignment horizontal="center" vertical="center"/>
    </xf>
    <xf numFmtId="176" fontId="28" fillId="0" borderId="73" xfId="0" applyNumberFormat="1" applyFont="1" applyFill="1" applyBorder="1" applyAlignment="1">
      <alignment horizontal="center" vertical="center" wrapText="1"/>
    </xf>
    <xf numFmtId="176" fontId="28" fillId="0" borderId="151" xfId="0" applyNumberFormat="1" applyFont="1" applyFill="1" applyBorder="1" applyAlignment="1">
      <alignment horizontal="center" vertical="center"/>
    </xf>
    <xf numFmtId="176" fontId="27" fillId="0" borderId="69" xfId="0" applyNumberFormat="1" applyFont="1" applyFill="1" applyBorder="1" applyAlignment="1">
      <alignment horizontal="center" vertical="center"/>
    </xf>
    <xf numFmtId="0" fontId="27" fillId="0" borderId="11" xfId="0" applyFont="1" applyFill="1" applyBorder="1" applyAlignment="1">
      <alignment horizontal="center" vertical="center"/>
    </xf>
    <xf numFmtId="185" fontId="27" fillId="0" borderId="11" xfId="0" applyNumberFormat="1" applyFont="1" applyFill="1" applyBorder="1">
      <alignment vertical="center"/>
    </xf>
    <xf numFmtId="0" fontId="27" fillId="0" borderId="69" xfId="0" applyFont="1" applyFill="1" applyBorder="1" applyAlignment="1">
      <alignment horizontal="center" vertical="center"/>
    </xf>
    <xf numFmtId="176" fontId="27" fillId="0" borderId="64" xfId="0" applyNumberFormat="1" applyFont="1" applyFill="1" applyBorder="1" applyAlignment="1">
      <alignment vertical="center"/>
    </xf>
    <xf numFmtId="178" fontId="27" fillId="0" borderId="11" xfId="0" applyNumberFormat="1" applyFont="1" applyFill="1" applyBorder="1">
      <alignment vertical="center"/>
    </xf>
    <xf numFmtId="176" fontId="27" fillId="0" borderId="65" xfId="0" applyNumberFormat="1" applyFont="1" applyFill="1" applyBorder="1" applyAlignment="1">
      <alignment horizontal="center" vertical="center"/>
    </xf>
    <xf numFmtId="176" fontId="27" fillId="0" borderId="66" xfId="0" applyNumberFormat="1" applyFont="1" applyFill="1" applyBorder="1" applyAlignment="1">
      <alignment vertical="center"/>
    </xf>
    <xf numFmtId="176" fontId="27" fillId="0" borderId="64" xfId="0" applyNumberFormat="1" applyFont="1" applyFill="1" applyBorder="1" applyAlignment="1">
      <alignment vertical="center" shrinkToFit="1"/>
    </xf>
    <xf numFmtId="178" fontId="27" fillId="0" borderId="69" xfId="0" applyNumberFormat="1" applyFont="1" applyFill="1" applyBorder="1" applyAlignment="1">
      <alignment horizontal="left" vertical="center"/>
    </xf>
    <xf numFmtId="178" fontId="27" fillId="0" borderId="94" xfId="0" applyNumberFormat="1" applyFont="1" applyFill="1" applyBorder="1" applyAlignment="1">
      <alignment horizontal="left" vertical="center"/>
    </xf>
    <xf numFmtId="38" fontId="27" fillId="28" borderId="11" xfId="35" applyFont="1" applyFill="1" applyBorder="1">
      <alignment vertical="center"/>
    </xf>
    <xf numFmtId="176" fontId="46" fillId="0" borderId="0" xfId="0" applyNumberFormat="1" applyFont="1" applyFill="1" applyBorder="1" applyAlignment="1">
      <alignment horizontal="distributed" vertical="center" wrapText="1"/>
    </xf>
    <xf numFmtId="0" fontId="46" fillId="0" borderId="0" xfId="0" applyFont="1" applyFill="1" applyBorder="1" applyAlignment="1">
      <alignment horizontal="distributed" vertical="center"/>
    </xf>
    <xf numFmtId="176" fontId="27" fillId="28" borderId="69" xfId="0" applyNumberFormat="1" applyFont="1" applyFill="1" applyBorder="1">
      <alignment vertical="center"/>
    </xf>
    <xf numFmtId="176" fontId="27" fillId="28" borderId="94" xfId="0" applyNumberFormat="1" applyFont="1" applyFill="1" applyBorder="1">
      <alignment vertical="center"/>
    </xf>
    <xf numFmtId="0" fontId="27" fillId="0" borderId="11" xfId="0" applyFont="1" applyFill="1" applyBorder="1" applyAlignment="1">
      <alignment horizontal="distributed" vertical="center" justifyLastLine="1"/>
    </xf>
    <xf numFmtId="0" fontId="27" fillId="0" borderId="69" xfId="0" applyFont="1" applyFill="1" applyBorder="1" applyAlignment="1">
      <alignment horizontal="distributed" vertical="center" justifyLastLine="1"/>
    </xf>
    <xf numFmtId="0" fontId="27" fillId="0" borderId="94" xfId="0" applyFont="1" applyFill="1" applyBorder="1" applyAlignment="1">
      <alignment horizontal="distributed" vertical="center" justifyLastLine="1"/>
    </xf>
    <xf numFmtId="38" fontId="27" fillId="0" borderId="94" xfId="35" applyFont="1" applyFill="1" applyBorder="1">
      <alignment vertical="center"/>
    </xf>
    <xf numFmtId="38" fontId="27" fillId="0" borderId="11" xfId="35" applyFont="1" applyFill="1" applyBorder="1">
      <alignment vertical="center"/>
    </xf>
    <xf numFmtId="0" fontId="27" fillId="0" borderId="21"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47"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6" xfId="0" applyFont="1" applyFill="1" applyBorder="1" applyAlignment="1">
      <alignment horizontal="center" vertical="center"/>
    </xf>
    <xf numFmtId="176" fontId="27" fillId="0" borderId="69" xfId="0" applyNumberFormat="1" applyFont="1" applyFill="1" applyBorder="1" applyAlignment="1">
      <alignment horizontal="right" vertical="center"/>
    </xf>
    <xf numFmtId="176" fontId="27" fillId="0" borderId="138" xfId="0" applyNumberFormat="1" applyFont="1" applyFill="1" applyBorder="1" applyAlignment="1">
      <alignment horizontal="right" vertical="center"/>
    </xf>
    <xf numFmtId="176" fontId="27" fillId="0" borderId="94" xfId="0" applyNumberFormat="1" applyFont="1" applyFill="1" applyBorder="1" applyAlignment="1">
      <alignment horizontal="right" vertical="center"/>
    </xf>
    <xf numFmtId="176" fontId="27" fillId="0" borderId="160" xfId="0" applyNumberFormat="1" applyFont="1" applyFill="1" applyBorder="1" applyAlignment="1">
      <alignment horizontal="left" vertical="center"/>
    </xf>
    <xf numFmtId="176" fontId="27" fillId="0" borderId="161" xfId="0" applyNumberFormat="1" applyFont="1" applyFill="1" applyBorder="1" applyAlignment="1">
      <alignment horizontal="left" vertical="center"/>
    </xf>
    <xf numFmtId="176" fontId="27" fillId="0" borderId="162" xfId="0" applyNumberFormat="1" applyFont="1" applyFill="1" applyBorder="1" applyAlignment="1">
      <alignment horizontal="left" vertical="center"/>
    </xf>
    <xf numFmtId="176" fontId="27" fillId="0" borderId="128" xfId="0" applyNumberFormat="1" applyFont="1" applyFill="1" applyBorder="1" applyAlignment="1">
      <alignment horizontal="left" vertical="center"/>
    </xf>
    <xf numFmtId="176" fontId="27" fillId="0" borderId="129" xfId="0" applyNumberFormat="1" applyFont="1" applyFill="1" applyBorder="1" applyAlignment="1">
      <alignment horizontal="left" vertical="center"/>
    </xf>
    <xf numFmtId="176" fontId="27" fillId="0" borderId="164" xfId="0" applyNumberFormat="1" applyFont="1" applyFill="1" applyBorder="1" applyAlignment="1">
      <alignment horizontal="left" vertical="center"/>
    </xf>
    <xf numFmtId="176" fontId="27" fillId="0" borderId="158" xfId="0" applyNumberFormat="1" applyFont="1" applyFill="1" applyBorder="1">
      <alignment vertical="center"/>
    </xf>
    <xf numFmtId="176" fontId="27" fillId="0" borderId="134" xfId="0" applyNumberFormat="1" applyFont="1" applyFill="1" applyBorder="1">
      <alignment vertical="center"/>
    </xf>
    <xf numFmtId="176" fontId="27" fillId="0" borderId="22" xfId="0" applyNumberFormat="1" applyFont="1" applyFill="1" applyBorder="1" applyAlignment="1">
      <alignment horizontal="distributed" vertical="center" indent="4"/>
    </xf>
    <xf numFmtId="176" fontId="28" fillId="0" borderId="73" xfId="0" applyNumberFormat="1" applyFont="1" applyFill="1" applyBorder="1" applyAlignment="1">
      <alignment horizontal="center" vertical="center"/>
    </xf>
    <xf numFmtId="176" fontId="28" fillId="0" borderId="36" xfId="0" applyNumberFormat="1" applyFont="1" applyFill="1" applyBorder="1" applyAlignment="1">
      <alignment horizontal="center" vertical="center"/>
    </xf>
    <xf numFmtId="0" fontId="23" fillId="0" borderId="28"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1"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3" fillId="0" borderId="33"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177" fontId="23" fillId="0" borderId="73" xfId="0" applyNumberFormat="1" applyFont="1" applyFill="1" applyBorder="1" applyAlignment="1">
      <alignment horizontal="center" vertical="center"/>
    </xf>
    <xf numFmtId="177" fontId="23" fillId="0" borderId="151" xfId="0" applyNumberFormat="1" applyFont="1" applyFill="1" applyBorder="1" applyAlignment="1">
      <alignment horizontal="center" vertical="center"/>
    </xf>
    <xf numFmtId="177" fontId="23" fillId="0" borderId="74" xfId="0" applyNumberFormat="1" applyFont="1" applyFill="1" applyBorder="1" applyAlignment="1">
      <alignment horizontal="center" vertical="center"/>
    </xf>
    <xf numFmtId="0" fontId="27" fillId="0" borderId="11" xfId="0" applyFont="1" applyFill="1" applyBorder="1" applyAlignment="1">
      <alignment vertical="center"/>
    </xf>
    <xf numFmtId="0" fontId="27" fillId="0" borderId="61" xfId="0" applyFont="1" applyFill="1" applyBorder="1" applyAlignment="1">
      <alignment vertical="center"/>
    </xf>
    <xf numFmtId="176" fontId="27" fillId="0" borderId="168" xfId="0" applyNumberFormat="1" applyFont="1" applyFill="1" applyBorder="1" applyAlignment="1">
      <alignment horizontal="distributed" vertical="center" justifyLastLine="1"/>
    </xf>
    <xf numFmtId="176" fontId="27" fillId="0" borderId="169" xfId="0" applyNumberFormat="1" applyFont="1" applyFill="1" applyBorder="1" applyAlignment="1">
      <alignment horizontal="distributed" vertical="center" justifyLastLine="1"/>
    </xf>
    <xf numFmtId="0" fontId="27" fillId="0" borderId="93" xfId="0" applyFont="1" applyFill="1" applyBorder="1" applyAlignment="1">
      <alignment horizontal="distributed" vertical="center" justifyLastLine="1"/>
    </xf>
    <xf numFmtId="0" fontId="27" fillId="0" borderId="29" xfId="0" applyFont="1" applyFill="1" applyBorder="1" applyAlignment="1">
      <alignment horizontal="distributed" vertical="center" justifyLastLine="1"/>
    </xf>
    <xf numFmtId="0" fontId="27" fillId="0" borderId="30" xfId="0" applyFont="1" applyFill="1" applyBorder="1" applyAlignment="1">
      <alignment horizontal="distributed" vertical="center" justifyLastLine="1"/>
    </xf>
    <xf numFmtId="178" fontId="27" fillId="0" borderId="58" xfId="0" applyNumberFormat="1" applyFont="1" applyFill="1" applyBorder="1" applyAlignment="1">
      <alignment horizontal="distributed" vertical="center" indent="1"/>
    </xf>
    <xf numFmtId="178" fontId="27" fillId="0" borderId="48" xfId="0" applyNumberFormat="1" applyFont="1" applyFill="1" applyBorder="1" applyAlignment="1">
      <alignment horizontal="distributed" vertical="center" indent="1"/>
    </xf>
    <xf numFmtId="178" fontId="27" fillId="0" borderId="62" xfId="0" applyNumberFormat="1" applyFont="1" applyFill="1" applyBorder="1" applyAlignment="1">
      <alignment horizontal="distributed" vertical="center" indent="1"/>
    </xf>
    <xf numFmtId="178" fontId="27" fillId="0" borderId="53" xfId="0" applyNumberFormat="1" applyFont="1" applyFill="1" applyBorder="1" applyAlignment="1">
      <alignment horizontal="distributed" vertical="center" indent="1"/>
    </xf>
    <xf numFmtId="176" fontId="27" fillId="0" borderId="25" xfId="0" applyNumberFormat="1" applyFont="1" applyFill="1" applyBorder="1" applyAlignment="1">
      <alignment horizontal="distributed" vertical="center" indent="1"/>
    </xf>
    <xf numFmtId="176" fontId="27" fillId="0" borderId="22" xfId="0" applyNumberFormat="1" applyFont="1" applyFill="1" applyBorder="1" applyAlignment="1">
      <alignment horizontal="distributed" vertical="center" indent="1"/>
    </xf>
    <xf numFmtId="176" fontId="28" fillId="0" borderId="73" xfId="0" applyNumberFormat="1" applyFont="1" applyFill="1" applyBorder="1" applyAlignment="1">
      <alignment horizontal="distributed" vertical="center" wrapText="1"/>
    </xf>
    <xf numFmtId="176" fontId="28" fillId="0" borderId="74" xfId="0" applyNumberFormat="1" applyFont="1" applyFill="1" applyBorder="1" applyAlignment="1">
      <alignment horizontal="distributed" vertical="center"/>
    </xf>
    <xf numFmtId="179" fontId="28" fillId="0" borderId="73" xfId="0" applyNumberFormat="1" applyFont="1" applyFill="1" applyBorder="1" applyAlignment="1">
      <alignment horizontal="center" vertical="center"/>
    </xf>
    <xf numFmtId="179" fontId="28" fillId="0" borderId="74" xfId="0" applyNumberFormat="1" applyFont="1" applyFill="1" applyBorder="1" applyAlignment="1">
      <alignment horizontal="center" vertical="center"/>
    </xf>
    <xf numFmtId="178" fontId="27" fillId="0" borderId="187" xfId="0" applyNumberFormat="1" applyFont="1" applyFill="1" applyBorder="1" applyAlignment="1">
      <alignment horizontal="distributed" vertical="center" indent="1"/>
    </xf>
    <xf numFmtId="178" fontId="27" fillId="0" borderId="45" xfId="0" applyNumberFormat="1" applyFont="1" applyFill="1" applyBorder="1" applyAlignment="1">
      <alignment horizontal="distributed" vertical="center" indent="1"/>
    </xf>
    <xf numFmtId="178" fontId="27" fillId="0" borderId="60" xfId="0" applyNumberFormat="1" applyFont="1" applyFill="1" applyBorder="1" applyAlignment="1">
      <alignment horizontal="distributed" vertical="center" indent="1"/>
    </xf>
    <xf numFmtId="178" fontId="27" fillId="0" borderId="50" xfId="0" applyNumberFormat="1" applyFont="1" applyFill="1" applyBorder="1" applyAlignment="1">
      <alignment horizontal="distributed" vertical="center" indent="1"/>
    </xf>
    <xf numFmtId="178" fontId="27" fillId="0" borderId="60" xfId="0" applyNumberFormat="1" applyFont="1" applyFill="1" applyBorder="1" applyAlignment="1">
      <alignment horizontal="center" vertical="center" shrinkToFit="1"/>
    </xf>
    <xf numFmtId="178" fontId="27" fillId="0" borderId="50" xfId="0" applyNumberFormat="1" applyFont="1" applyFill="1" applyBorder="1" applyAlignment="1">
      <alignment horizontal="center" vertical="center" shrinkToFit="1"/>
    </xf>
    <xf numFmtId="176" fontId="24" fillId="0" borderId="0" xfId="0" applyNumberFormat="1" applyFont="1" applyFill="1">
      <alignment vertical="center"/>
    </xf>
    <xf numFmtId="0" fontId="28" fillId="0" borderId="73" xfId="0" applyFont="1" applyFill="1" applyBorder="1" applyAlignment="1">
      <alignment horizontal="distributed" vertical="center" justifyLastLine="1"/>
    </xf>
    <xf numFmtId="0" fontId="28" fillId="0" borderId="74" xfId="0" applyFont="1" applyFill="1" applyBorder="1" applyAlignment="1">
      <alignment horizontal="distributed" vertical="center" justifyLastLine="1"/>
    </xf>
    <xf numFmtId="178" fontId="27" fillId="0" borderId="28" xfId="0" applyNumberFormat="1" applyFont="1" applyFill="1" applyBorder="1" applyAlignment="1">
      <alignment horizontal="distributed" vertical="center" indent="1"/>
    </xf>
    <xf numFmtId="178" fontId="27" fillId="0" borderId="30" xfId="0" applyNumberFormat="1" applyFont="1" applyFill="1" applyBorder="1" applyAlignment="1">
      <alignment horizontal="distributed" vertical="center" indent="1"/>
    </xf>
    <xf numFmtId="178" fontId="27" fillId="0" borderId="33" xfId="0" applyNumberFormat="1" applyFont="1" applyFill="1" applyBorder="1" applyAlignment="1">
      <alignment horizontal="distributed" vertical="center" indent="1"/>
    </xf>
    <xf numFmtId="178" fontId="27" fillId="0" borderId="35" xfId="0" applyNumberFormat="1" applyFont="1" applyFill="1" applyBorder="1" applyAlignment="1">
      <alignment horizontal="distributed" vertical="center" indent="1"/>
    </xf>
    <xf numFmtId="0" fontId="46" fillId="0" borderId="58" xfId="0" applyFont="1" applyFill="1" applyBorder="1" applyAlignment="1">
      <alignment horizontal="distributed" vertical="center" justifyLastLine="1"/>
    </xf>
    <xf numFmtId="0" fontId="46" fillId="0" borderId="47" xfId="0" applyFont="1" applyFill="1" applyBorder="1" applyAlignment="1">
      <alignment horizontal="distributed" vertical="center" justifyLastLine="1"/>
    </xf>
    <xf numFmtId="0" fontId="46" fillId="0" borderId="131" xfId="0" applyFont="1" applyFill="1" applyBorder="1" applyAlignment="1">
      <alignment horizontal="distributed" vertical="center" justifyLastLine="1"/>
    </xf>
    <xf numFmtId="178" fontId="27" fillId="0" borderId="115" xfId="0" applyNumberFormat="1" applyFont="1" applyFill="1" applyBorder="1" applyAlignment="1">
      <alignment horizontal="distributed" vertical="center" indent="1"/>
    </xf>
    <xf numFmtId="178" fontId="27" fillId="0" borderId="81" xfId="0" applyNumberFormat="1" applyFont="1" applyFill="1" applyBorder="1" applyAlignment="1">
      <alignment horizontal="distributed" vertical="center" indent="1"/>
    </xf>
    <xf numFmtId="178" fontId="27" fillId="0" borderId="62" xfId="0" applyNumberFormat="1" applyFont="1" applyFill="1" applyBorder="1" applyAlignment="1">
      <alignment horizontal="center" vertical="center" shrinkToFit="1"/>
    </xf>
    <xf numFmtId="178" fontId="27" fillId="0" borderId="53" xfId="0" applyNumberFormat="1" applyFont="1" applyFill="1" applyBorder="1" applyAlignment="1">
      <alignment horizontal="center" vertical="center" shrinkToFit="1"/>
    </xf>
    <xf numFmtId="0" fontId="42" fillId="0" borderId="40" xfId="0" applyFont="1" applyFill="1" applyBorder="1">
      <alignment vertical="center"/>
    </xf>
    <xf numFmtId="0" fontId="42" fillId="0" borderId="37" xfId="0" applyFont="1" applyFill="1" applyBorder="1">
      <alignment vertical="center"/>
    </xf>
    <xf numFmtId="0" fontId="42" fillId="0" borderId="67" xfId="0" applyFont="1" applyFill="1" applyBorder="1" applyAlignment="1">
      <alignment horizontal="distributed" vertical="center" justifyLastLine="1"/>
    </xf>
    <xf numFmtId="0" fontId="42" fillId="0" borderId="47" xfId="0" applyFont="1" applyFill="1" applyBorder="1" applyAlignment="1">
      <alignment horizontal="distributed" vertical="center" justifyLastLine="1"/>
    </xf>
    <xf numFmtId="0" fontId="42" fillId="0" borderId="59" xfId="0" applyFont="1" applyFill="1" applyBorder="1" applyAlignment="1">
      <alignment horizontal="center" vertical="center" shrinkToFit="1"/>
    </xf>
    <xf numFmtId="0" fontId="42" fillId="0" borderId="61" xfId="0" applyFont="1" applyFill="1" applyBorder="1" applyAlignment="1">
      <alignment horizontal="center" vertical="center" shrinkToFit="1"/>
    </xf>
    <xf numFmtId="0" fontId="23" fillId="0" borderId="40" xfId="0" applyFont="1" applyFill="1" applyBorder="1" applyAlignment="1">
      <alignment horizontal="center" vertical="center" shrinkToFit="1"/>
    </xf>
    <xf numFmtId="0" fontId="23" fillId="0" borderId="37" xfId="0" applyFont="1" applyFill="1" applyBorder="1" applyAlignment="1">
      <alignment horizontal="center" vertical="center" shrinkToFit="1"/>
    </xf>
    <xf numFmtId="0" fontId="42" fillId="0" borderId="48" xfId="0" applyFont="1" applyFill="1" applyBorder="1" applyAlignment="1">
      <alignment horizontal="distributed" vertical="center" justifyLastLine="1"/>
    </xf>
    <xf numFmtId="0" fontId="42" fillId="0" borderId="73" xfId="0" applyFont="1" applyFill="1" applyBorder="1">
      <alignment vertical="center"/>
    </xf>
    <xf numFmtId="0" fontId="42" fillId="0" borderId="36" xfId="0" applyFont="1" applyFill="1" applyBorder="1">
      <alignment vertical="center"/>
    </xf>
    <xf numFmtId="0" fontId="23" fillId="0" borderId="73" xfId="0" applyFont="1" applyFill="1" applyBorder="1" applyAlignment="1">
      <alignment horizontal="center" vertical="center" wrapText="1" shrinkToFit="1"/>
    </xf>
    <xf numFmtId="0" fontId="23" fillId="0" borderId="36" xfId="0" applyFont="1" applyFill="1" applyBorder="1" applyAlignment="1">
      <alignment horizontal="center" vertical="center" wrapText="1" shrinkToFit="1"/>
    </xf>
    <xf numFmtId="0" fontId="42" fillId="0" borderId="169" xfId="0" applyFont="1" applyFill="1" applyBorder="1" applyAlignment="1">
      <alignment horizontal="center" vertical="center"/>
    </xf>
    <xf numFmtId="0" fontId="42" fillId="0" borderId="26" xfId="0" applyFont="1" applyFill="1" applyBorder="1" applyAlignment="1">
      <alignment horizontal="center" vertical="center"/>
    </xf>
    <xf numFmtId="0" fontId="42" fillId="0" borderId="131" xfId="0" applyFont="1" applyFill="1" applyBorder="1" applyAlignment="1">
      <alignment horizontal="center" vertical="center"/>
    </xf>
    <xf numFmtId="0" fontId="42" fillId="0" borderId="81" xfId="0" applyFont="1" applyFill="1" applyBorder="1" applyAlignment="1">
      <alignment horizontal="center" vertical="center"/>
    </xf>
    <xf numFmtId="0" fontId="42" fillId="0" borderId="168" xfId="0" applyFont="1" applyFill="1" applyBorder="1" applyAlignment="1">
      <alignment horizontal="center" vertical="center"/>
    </xf>
    <xf numFmtId="0" fontId="42" fillId="0" borderId="166" xfId="0" applyFont="1" applyFill="1" applyBorder="1" applyAlignment="1">
      <alignment horizontal="center" vertical="center"/>
    </xf>
    <xf numFmtId="0" fontId="42" fillId="0" borderId="67" xfId="0" applyFont="1" applyFill="1" applyBorder="1" applyAlignment="1">
      <alignment horizontal="center" vertical="center"/>
    </xf>
    <xf numFmtId="0" fontId="42" fillId="0" borderId="47" xfId="0" applyFont="1" applyFill="1" applyBorder="1" applyAlignment="1">
      <alignment horizontal="center" vertical="center" shrinkToFit="1"/>
    </xf>
    <xf numFmtId="0" fontId="42" fillId="0" borderId="11" xfId="0" applyFont="1" applyFill="1" applyBorder="1" applyAlignment="1">
      <alignment horizontal="center" vertical="center" shrinkToFit="1"/>
    </xf>
    <xf numFmtId="0" fontId="42" fillId="0" borderId="28" xfId="0" applyFont="1" applyFill="1" applyBorder="1" applyAlignment="1">
      <alignment horizontal="center" vertical="center"/>
    </xf>
    <xf numFmtId="0" fontId="42" fillId="0" borderId="29" xfId="0" applyFont="1" applyFill="1" applyBorder="1" applyAlignment="1">
      <alignment horizontal="center" vertical="center"/>
    </xf>
    <xf numFmtId="0" fontId="42" fillId="0" borderId="30" xfId="0" applyFont="1" applyFill="1" applyBorder="1" applyAlignment="1">
      <alignment horizontal="center" vertical="center"/>
    </xf>
    <xf numFmtId="0" fontId="42" fillId="0" borderId="170" xfId="0" applyFont="1" applyFill="1" applyBorder="1" applyAlignment="1">
      <alignment horizontal="center" vertical="center"/>
    </xf>
    <xf numFmtId="0" fontId="42" fillId="0" borderId="171" xfId="0" applyFont="1" applyFill="1" applyBorder="1" applyAlignment="1">
      <alignment horizontal="center" vertical="center"/>
    </xf>
    <xf numFmtId="0" fontId="42" fillId="0" borderId="172" xfId="0" applyFont="1" applyFill="1" applyBorder="1" applyAlignment="1">
      <alignment horizontal="center" vertical="center"/>
    </xf>
    <xf numFmtId="0" fontId="42" fillId="0" borderId="0" xfId="0" applyFont="1" applyFill="1" applyAlignment="1">
      <alignment horizontal="left" vertical="center" wrapText="1"/>
    </xf>
    <xf numFmtId="0" fontId="59" fillId="0" borderId="0" xfId="56" applyFont="1" applyAlignment="1">
      <alignment vertical="top" wrapText="1"/>
    </xf>
    <xf numFmtId="0" fontId="49" fillId="0" borderId="0" xfId="56" applyFont="1" applyAlignment="1">
      <alignment horizontal="center" vertical="center"/>
    </xf>
    <xf numFmtId="0" fontId="45" fillId="0" borderId="0" xfId="0" applyFont="1" applyAlignment="1">
      <alignment horizontal="center" vertical="center"/>
    </xf>
    <xf numFmtId="38" fontId="38" fillId="24" borderId="175" xfId="37" applyFont="1" applyFill="1" applyBorder="1" applyAlignment="1" applyProtection="1">
      <alignment horizontal="center" vertical="center"/>
      <protection locked="0"/>
    </xf>
    <xf numFmtId="38" fontId="38" fillId="24" borderId="176" xfId="37" applyFont="1" applyFill="1" applyBorder="1" applyAlignment="1" applyProtection="1">
      <alignment horizontal="center" vertical="center"/>
      <protection locked="0"/>
    </xf>
    <xf numFmtId="38" fontId="38" fillId="24" borderId="177" xfId="37" applyFont="1" applyFill="1" applyBorder="1" applyAlignment="1" applyProtection="1">
      <alignment horizontal="center" vertical="center" wrapText="1"/>
      <protection locked="0"/>
    </xf>
    <xf numFmtId="38" fontId="38" fillId="24" borderId="15" xfId="37" applyFont="1" applyFill="1" applyBorder="1" applyAlignment="1" applyProtection="1">
      <alignment horizontal="center" vertical="center" wrapText="1"/>
      <protection locked="0"/>
    </xf>
    <xf numFmtId="38" fontId="39" fillId="24" borderId="174" xfId="37" applyFont="1" applyFill="1" applyBorder="1" applyAlignment="1" applyProtection="1">
      <alignment horizontal="center" vertical="center" wrapText="1"/>
      <protection locked="0"/>
    </xf>
    <xf numFmtId="38" fontId="39" fillId="24" borderId="132" xfId="37" applyFont="1" applyFill="1" applyBorder="1" applyAlignment="1" applyProtection="1">
      <alignment horizontal="center" vertical="center" wrapText="1"/>
      <protection locked="0"/>
    </xf>
    <xf numFmtId="0" fontId="1" fillId="24" borderId="178" xfId="54" applyFont="1" applyFill="1" applyBorder="1" applyAlignment="1" applyProtection="1">
      <alignment horizontal="center" vertical="center"/>
      <protection locked="0"/>
    </xf>
    <xf numFmtId="0" fontId="1" fillId="24" borderId="179" xfId="54" applyFont="1" applyFill="1" applyBorder="1" applyAlignment="1" applyProtection="1">
      <alignment horizontal="center" vertical="center"/>
      <protection locked="0"/>
    </xf>
    <xf numFmtId="38" fontId="39" fillId="24" borderId="173" xfId="37" applyFont="1" applyFill="1" applyBorder="1" applyAlignment="1" applyProtection="1">
      <alignment horizontal="center" vertical="center" wrapText="1"/>
      <protection locked="0"/>
    </xf>
    <xf numFmtId="38" fontId="39" fillId="24" borderId="15" xfId="37" applyFont="1" applyFill="1" applyBorder="1" applyAlignment="1" applyProtection="1">
      <alignment horizontal="center" vertical="center" wrapText="1"/>
      <protection locked="0"/>
    </xf>
    <xf numFmtId="38" fontId="38" fillId="24" borderId="173" xfId="37" applyFont="1" applyFill="1" applyBorder="1" applyAlignment="1" applyProtection="1">
      <alignment horizontal="center" vertical="center" wrapText="1"/>
      <protection locked="0"/>
    </xf>
    <xf numFmtId="38" fontId="39" fillId="24" borderId="177" xfId="37" applyFont="1" applyFill="1" applyBorder="1" applyAlignment="1" applyProtection="1">
      <alignment horizontal="center" vertical="center" wrapText="1"/>
      <protection locked="0"/>
    </xf>
    <xf numFmtId="0" fontId="38" fillId="24" borderId="61" xfId="54" applyFont="1" applyFill="1" applyBorder="1" applyAlignment="1" applyProtection="1">
      <alignment horizontal="center" vertical="center"/>
      <protection locked="0"/>
    </xf>
    <xf numFmtId="0" fontId="38" fillId="24" borderId="68" xfId="54" applyFont="1" applyFill="1" applyBorder="1" applyAlignment="1" applyProtection="1">
      <alignment horizontal="center" vertical="center"/>
      <protection locked="0"/>
    </xf>
    <xf numFmtId="0" fontId="40" fillId="24" borderId="61" xfId="54" applyFont="1" applyFill="1" applyBorder="1" applyAlignment="1" applyProtection="1">
      <alignment horizontal="center" vertical="center"/>
      <protection locked="0"/>
    </xf>
    <xf numFmtId="0" fontId="40" fillId="24" borderId="68" xfId="54" applyFont="1" applyFill="1" applyBorder="1" applyAlignment="1" applyProtection="1">
      <alignment horizontal="center" vertical="center"/>
      <protection locked="0"/>
    </xf>
    <xf numFmtId="187" fontId="33" fillId="25" borderId="61" xfId="54" applyNumberFormat="1" applyFont="1" applyFill="1" applyBorder="1" applyAlignment="1" applyProtection="1">
      <alignment horizontal="center" vertical="center"/>
    </xf>
    <xf numFmtId="187" fontId="33" fillId="25" borderId="68" xfId="54" applyNumberFormat="1" applyFont="1" applyFill="1" applyBorder="1" applyAlignment="1" applyProtection="1">
      <alignment horizontal="center" vertical="center"/>
    </xf>
    <xf numFmtId="38" fontId="38" fillId="25" borderId="61" xfId="37" applyFont="1" applyFill="1" applyBorder="1" applyAlignment="1" applyProtection="1">
      <alignment horizontal="center" vertical="center"/>
    </xf>
    <xf numFmtId="38" fontId="38" fillId="25" borderId="68" xfId="37" applyFont="1" applyFill="1" applyBorder="1" applyAlignment="1" applyProtection="1">
      <alignment horizontal="center" vertical="center"/>
    </xf>
    <xf numFmtId="38" fontId="38" fillId="25" borderId="61" xfId="54" applyNumberFormat="1" applyFont="1" applyFill="1" applyBorder="1" applyAlignment="1" applyProtection="1">
      <alignment horizontal="center" vertical="center"/>
    </xf>
    <xf numFmtId="38" fontId="38" fillId="25" borderId="68" xfId="54" applyNumberFormat="1" applyFont="1" applyFill="1" applyBorder="1" applyAlignment="1" applyProtection="1">
      <alignment horizontal="center" vertical="center"/>
    </xf>
    <xf numFmtId="0" fontId="0" fillId="0" borderId="0" xfId="0" applyAlignment="1">
      <alignment vertical="top" wrapText="1"/>
    </xf>
    <xf numFmtId="0" fontId="0" fillId="0" borderId="0" xfId="0" applyAlignment="1">
      <alignment vertical="center" wrapText="1"/>
    </xf>
    <xf numFmtId="0" fontId="55" fillId="28" borderId="61" xfId="56" applyFont="1" applyFill="1" applyBorder="1" applyAlignment="1">
      <alignment horizontal="left" vertical="center"/>
    </xf>
    <xf numFmtId="0" fontId="55" fillId="28" borderId="68" xfId="56" applyFont="1" applyFill="1" applyBorder="1" applyAlignment="1">
      <alignment horizontal="left" vertical="center"/>
    </xf>
    <xf numFmtId="0" fontId="53" fillId="28" borderId="61" xfId="56" applyFont="1" applyFill="1" applyBorder="1" applyAlignment="1">
      <alignment horizontal="center" vertical="center"/>
    </xf>
    <xf numFmtId="0" fontId="53" fillId="28" borderId="68" xfId="56" applyFont="1" applyFill="1" applyBorder="1" applyAlignment="1">
      <alignment horizontal="center" vertical="center"/>
    </xf>
    <xf numFmtId="0" fontId="53" fillId="28" borderId="0" xfId="56" applyFont="1" applyFill="1" applyAlignment="1">
      <alignment vertical="center" wrapText="1"/>
    </xf>
    <xf numFmtId="0" fontId="53" fillId="28" borderId="22" xfId="56" applyFont="1" applyFill="1" applyBorder="1" applyAlignment="1">
      <alignment vertical="center" wrapText="1"/>
    </xf>
    <xf numFmtId="0" fontId="55" fillId="28" borderId="180" xfId="56" applyFont="1" applyFill="1" applyBorder="1" applyAlignment="1">
      <alignment horizontal="center" vertical="center"/>
    </xf>
    <xf numFmtId="0" fontId="55" fillId="28" borderId="181" xfId="56" applyFont="1" applyFill="1" applyBorder="1" applyAlignment="1">
      <alignment horizontal="center" vertical="center"/>
    </xf>
    <xf numFmtId="0" fontId="53" fillId="28" borderId="27" xfId="56" applyFont="1" applyFill="1" applyBorder="1" applyAlignment="1">
      <alignment horizontal="center" vertical="center"/>
    </xf>
    <xf numFmtId="0" fontId="53" fillId="28" borderId="11" xfId="56" applyFont="1" applyFill="1" applyBorder="1" applyAlignment="1">
      <alignment horizontal="left" vertical="center"/>
    </xf>
    <xf numFmtId="0" fontId="53" fillId="28" borderId="11" xfId="56" applyFont="1" applyFill="1" applyBorder="1">
      <alignment vertical="center"/>
    </xf>
    <xf numFmtId="0" fontId="53" fillId="28" borderId="22" xfId="56" applyFont="1" applyFill="1" applyBorder="1" applyAlignment="1">
      <alignment horizontal="left" vertical="center" wrapText="1"/>
    </xf>
    <xf numFmtId="0" fontId="55" fillId="28" borderId="22" xfId="56" applyFont="1" applyFill="1" applyBorder="1" applyAlignment="1">
      <alignment vertical="center" wrapText="1"/>
    </xf>
    <xf numFmtId="0" fontId="55" fillId="28" borderId="0" xfId="56" applyFont="1" applyFill="1" applyAlignment="1">
      <alignment vertical="center" wrapText="1"/>
    </xf>
    <xf numFmtId="0" fontId="53" fillId="28" borderId="180" xfId="56" applyFont="1" applyFill="1" applyBorder="1" applyAlignment="1">
      <alignment horizontal="center" vertical="center"/>
    </xf>
    <xf numFmtId="0" fontId="53" fillId="28" borderId="181" xfId="56" applyFont="1" applyFill="1" applyBorder="1" applyAlignment="1">
      <alignment horizontal="center" vertical="center"/>
    </xf>
    <xf numFmtId="0" fontId="53" fillId="28" borderId="61" xfId="56" applyFont="1" applyFill="1" applyBorder="1" applyAlignment="1">
      <alignment horizontal="left" vertical="center"/>
    </xf>
    <xf numFmtId="0" fontId="53" fillId="28" borderId="68" xfId="56" applyFont="1" applyFill="1" applyBorder="1" applyAlignment="1">
      <alignment horizontal="left" vertical="center"/>
    </xf>
    <xf numFmtId="194" fontId="33" fillId="0" borderId="117" xfId="0" applyNumberFormat="1" applyFont="1" applyFill="1" applyBorder="1" applyAlignment="1">
      <alignment horizontal="center" vertical="center"/>
    </xf>
    <xf numFmtId="194" fontId="33" fillId="0" borderId="146" xfId="0" applyNumberFormat="1" applyFont="1" applyFill="1" applyBorder="1" applyAlignment="1">
      <alignment horizontal="center" vertical="center"/>
    </xf>
    <xf numFmtId="217" fontId="33" fillId="0" borderId="113" xfId="0" applyNumberFormat="1" applyFont="1" applyFill="1" applyBorder="1" applyAlignment="1">
      <alignment horizontal="center" vertical="center"/>
    </xf>
    <xf numFmtId="217" fontId="33" fillId="0" borderId="114" xfId="0" applyNumberFormat="1" applyFont="1"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TableStyleLight1" xfId="6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cellStyle name="桁区切り 2 2" xfId="37"/>
    <cellStyle name="桁区切り 2 3" xfId="38"/>
    <cellStyle name="桁区切り 3" xfId="39"/>
    <cellStyle name="桁区切り 3 2" xfId="63"/>
    <cellStyle name="桁区切り 4" xfId="40"/>
    <cellStyle name="桁区切り 5" xfId="41"/>
    <cellStyle name="見出し 1" xfId="42" builtinId="16" customBuiltin="1"/>
    <cellStyle name="見出し 2" xfId="43" builtinId="17" customBuiltin="1"/>
    <cellStyle name="見出し 3" xfId="44" builtinId="18" customBuiltin="1"/>
    <cellStyle name="見出し 4" xfId="45" builtinId="19" customBuiltin="1"/>
    <cellStyle name="集計" xfId="46" builtinId="25" customBuiltin="1"/>
    <cellStyle name="出力" xfId="47" builtinId="21" customBuiltin="1"/>
    <cellStyle name="説明文" xfId="48" builtinId="53" customBuiltin="1"/>
    <cellStyle name="通貨 2" xfId="49"/>
    <cellStyle name="通貨 2 2" xfId="65"/>
    <cellStyle name="通貨 2 2 2" xfId="66"/>
    <cellStyle name="通貨 2 3" xfId="67"/>
    <cellStyle name="通貨 2 4" xfId="64"/>
    <cellStyle name="通貨 3" xfId="50"/>
    <cellStyle name="通貨 3 2" xfId="69"/>
    <cellStyle name="通貨 3 2 2" xfId="70"/>
    <cellStyle name="通貨 3 3" xfId="71"/>
    <cellStyle name="通貨 3 4" xfId="68"/>
    <cellStyle name="入力" xfId="51" builtinId="20" customBuiltin="1"/>
    <cellStyle name="標準" xfId="0" builtinId="0"/>
    <cellStyle name="標準 2" xfId="52"/>
    <cellStyle name="標準 2 2" xfId="53"/>
    <cellStyle name="標準 2 2 2" xfId="72"/>
    <cellStyle name="標準 2 3" xfId="54"/>
    <cellStyle name="標準 2 3 2" xfId="73"/>
    <cellStyle name="標準 2_20_３表　実質公債費比率の状況" xfId="55"/>
    <cellStyle name="標準 3" xfId="56"/>
    <cellStyle name="標準 3 2" xfId="57"/>
    <cellStyle name="標準 3 3" xfId="74"/>
    <cellStyle name="標準 4" xfId="58"/>
    <cellStyle name="標準 5" xfId="59"/>
    <cellStyle name="標準 6" xfId="61"/>
    <cellStyle name="良い" xfId="6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17</xdr:col>
      <xdr:colOff>200025</xdr:colOff>
      <xdr:row>23</xdr:row>
      <xdr:rowOff>47625</xdr:rowOff>
    </xdr:from>
    <xdr:to>
      <xdr:col>18</xdr:col>
      <xdr:colOff>495300</xdr:colOff>
      <xdr:row>27</xdr:row>
      <xdr:rowOff>123825</xdr:rowOff>
    </xdr:to>
    <xdr:sp macro="" textlink="">
      <xdr:nvSpPr>
        <xdr:cNvPr id="4097" name="Text Box 1"/>
        <xdr:cNvSpPr txBox="1">
          <a:spLocks noChangeArrowheads="1"/>
        </xdr:cNvSpPr>
      </xdr:nvSpPr>
      <xdr:spPr bwMode="auto">
        <a:xfrm>
          <a:off x="9277350" y="4781550"/>
          <a:ext cx="1152525" cy="942975"/>
        </a:xfrm>
        <a:prstGeom prst="rect">
          <a:avLst/>
        </a:prstGeom>
        <a:solidFill>
          <a:srgbClr val="FFCC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３か年平均　と　入れること！　</a:t>
          </a:r>
        </a:p>
        <a:p>
          <a:pPr algn="l" rtl="0">
            <a:lnSpc>
              <a:spcPts val="1300"/>
            </a:lnSpc>
            <a:defRPr sz="1000"/>
          </a:pPr>
          <a:r>
            <a:rPr lang="ja-JP" altLang="en-US" sz="1100" b="0" i="0" u="none" strike="noStrike" baseline="0">
              <a:solidFill>
                <a:srgbClr val="000000"/>
              </a:solidFill>
              <a:latin typeface="ＭＳ Ｐゴシック"/>
              <a:ea typeface="ＭＳ Ｐゴシック"/>
            </a:rPr>
            <a:t>と課長オーダー</a:t>
          </a:r>
        </a:p>
        <a:p>
          <a:pPr algn="l" rtl="0">
            <a:lnSpc>
              <a:spcPts val="12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20120824</a:t>
          </a:r>
          <a:r>
            <a:rPr lang="ja-JP" altLang="en-US" sz="1100" b="0" i="0" u="none" strike="noStrike" baseline="0">
              <a:solidFill>
                <a:srgbClr val="000000"/>
              </a:solidFill>
              <a:latin typeface="ＭＳ Ｐゴシック"/>
              <a:ea typeface="ＭＳ Ｐゴシック"/>
            </a:rPr>
            <a: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685800</xdr:colOff>
      <xdr:row>29</xdr:row>
      <xdr:rowOff>0</xdr:rowOff>
    </xdr:from>
    <xdr:to>
      <xdr:col>2</xdr:col>
      <xdr:colOff>714375</xdr:colOff>
      <xdr:row>31</xdr:row>
      <xdr:rowOff>19050</xdr:rowOff>
    </xdr:to>
    <xdr:sp macro="" textlink="">
      <xdr:nvSpPr>
        <xdr:cNvPr id="21704" name="AutoShape 1"/>
        <xdr:cNvSpPr>
          <a:spLocks/>
        </xdr:cNvSpPr>
      </xdr:nvSpPr>
      <xdr:spPr bwMode="auto">
        <a:xfrm>
          <a:off x="1371600" y="5448300"/>
          <a:ext cx="28575" cy="361950"/>
        </a:xfrm>
        <a:prstGeom prst="leftBracket">
          <a:avLst>
            <a:gd name="adj" fmla="val 10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809625</xdr:colOff>
      <xdr:row>29</xdr:row>
      <xdr:rowOff>0</xdr:rowOff>
    </xdr:from>
    <xdr:to>
      <xdr:col>6</xdr:col>
      <xdr:colOff>876300</xdr:colOff>
      <xdr:row>31</xdr:row>
      <xdr:rowOff>0</xdr:rowOff>
    </xdr:to>
    <xdr:sp macro="" textlink="">
      <xdr:nvSpPr>
        <xdr:cNvPr id="21705" name="AutoShape 2"/>
        <xdr:cNvSpPr>
          <a:spLocks/>
        </xdr:cNvSpPr>
      </xdr:nvSpPr>
      <xdr:spPr bwMode="auto">
        <a:xfrm>
          <a:off x="4810125" y="5448300"/>
          <a:ext cx="66675" cy="342900"/>
        </a:xfrm>
        <a:prstGeom prst="rightBracket">
          <a:avLst>
            <a:gd name="adj" fmla="val 428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876300</xdr:colOff>
      <xdr:row>29</xdr:row>
      <xdr:rowOff>0</xdr:rowOff>
    </xdr:from>
    <xdr:to>
      <xdr:col>10</xdr:col>
      <xdr:colOff>57150</xdr:colOff>
      <xdr:row>31</xdr:row>
      <xdr:rowOff>0</xdr:rowOff>
    </xdr:to>
    <xdr:sp macro="" textlink="">
      <xdr:nvSpPr>
        <xdr:cNvPr id="21706" name="AutoShape 4"/>
        <xdr:cNvSpPr>
          <a:spLocks/>
        </xdr:cNvSpPr>
      </xdr:nvSpPr>
      <xdr:spPr bwMode="auto">
        <a:xfrm>
          <a:off x="7534275" y="5448300"/>
          <a:ext cx="66675" cy="342900"/>
        </a:xfrm>
        <a:prstGeom prst="rightBracket">
          <a:avLst>
            <a:gd name="adj" fmla="val 428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866775</xdr:colOff>
      <xdr:row>28</xdr:row>
      <xdr:rowOff>133350</xdr:rowOff>
    </xdr:from>
    <xdr:to>
      <xdr:col>8</xdr:col>
      <xdr:colOff>9525</xdr:colOff>
      <xdr:row>30</xdr:row>
      <xdr:rowOff>152400</xdr:rowOff>
    </xdr:to>
    <xdr:sp macro="" textlink="">
      <xdr:nvSpPr>
        <xdr:cNvPr id="21707" name="AutoShape 5"/>
        <xdr:cNvSpPr>
          <a:spLocks/>
        </xdr:cNvSpPr>
      </xdr:nvSpPr>
      <xdr:spPr bwMode="auto">
        <a:xfrm>
          <a:off x="5753100" y="5410200"/>
          <a:ext cx="28575" cy="361950"/>
        </a:xfrm>
        <a:prstGeom prst="leftBracket">
          <a:avLst>
            <a:gd name="adj" fmla="val 10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742950</xdr:colOff>
      <xdr:row>90</xdr:row>
      <xdr:rowOff>0</xdr:rowOff>
    </xdr:from>
    <xdr:to>
      <xdr:col>1</xdr:col>
      <xdr:colOff>819150</xdr:colOff>
      <xdr:row>90</xdr:row>
      <xdr:rowOff>209550</xdr:rowOff>
    </xdr:to>
    <xdr:sp macro="" textlink="">
      <xdr:nvSpPr>
        <xdr:cNvPr id="23662" name="Text Box 1"/>
        <xdr:cNvSpPr txBox="1">
          <a:spLocks noChangeArrowheads="1"/>
        </xdr:cNvSpPr>
      </xdr:nvSpPr>
      <xdr:spPr bwMode="auto">
        <a:xfrm>
          <a:off x="1009650" y="2873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742950</xdr:colOff>
      <xdr:row>90</xdr:row>
      <xdr:rowOff>0</xdr:rowOff>
    </xdr:from>
    <xdr:to>
      <xdr:col>1</xdr:col>
      <xdr:colOff>819150</xdr:colOff>
      <xdr:row>90</xdr:row>
      <xdr:rowOff>209550</xdr:rowOff>
    </xdr:to>
    <xdr:sp macro="" textlink="">
      <xdr:nvSpPr>
        <xdr:cNvPr id="23663" name="Text Box 2"/>
        <xdr:cNvSpPr txBox="1">
          <a:spLocks noChangeArrowheads="1"/>
        </xdr:cNvSpPr>
      </xdr:nvSpPr>
      <xdr:spPr bwMode="auto">
        <a:xfrm>
          <a:off x="1009650" y="2873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742950</xdr:colOff>
      <xdr:row>90</xdr:row>
      <xdr:rowOff>0</xdr:rowOff>
    </xdr:from>
    <xdr:to>
      <xdr:col>1</xdr:col>
      <xdr:colOff>819150</xdr:colOff>
      <xdr:row>90</xdr:row>
      <xdr:rowOff>209550</xdr:rowOff>
    </xdr:to>
    <xdr:sp macro="" textlink="">
      <xdr:nvSpPr>
        <xdr:cNvPr id="23664" name="Text Box 3"/>
        <xdr:cNvSpPr txBox="1">
          <a:spLocks noChangeArrowheads="1"/>
        </xdr:cNvSpPr>
      </xdr:nvSpPr>
      <xdr:spPr bwMode="auto">
        <a:xfrm>
          <a:off x="1009650" y="2873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742950</xdr:colOff>
      <xdr:row>57</xdr:row>
      <xdr:rowOff>76200</xdr:rowOff>
    </xdr:from>
    <xdr:to>
      <xdr:col>1</xdr:col>
      <xdr:colOff>819150</xdr:colOff>
      <xdr:row>58</xdr:row>
      <xdr:rowOff>57150</xdr:rowOff>
    </xdr:to>
    <xdr:sp macro="" textlink="">
      <xdr:nvSpPr>
        <xdr:cNvPr id="23665" name="Text Box 1"/>
        <xdr:cNvSpPr txBox="1">
          <a:spLocks noChangeArrowheads="1"/>
        </xdr:cNvSpPr>
      </xdr:nvSpPr>
      <xdr:spPr bwMode="auto">
        <a:xfrm>
          <a:off x="1009650" y="199453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742950</xdr:colOff>
      <xdr:row>64</xdr:row>
      <xdr:rowOff>76200</xdr:rowOff>
    </xdr:from>
    <xdr:to>
      <xdr:col>1</xdr:col>
      <xdr:colOff>819150</xdr:colOff>
      <xdr:row>65</xdr:row>
      <xdr:rowOff>57150</xdr:rowOff>
    </xdr:to>
    <xdr:sp macro="" textlink="">
      <xdr:nvSpPr>
        <xdr:cNvPr id="23666" name="Text Box 2"/>
        <xdr:cNvSpPr txBox="1">
          <a:spLocks noChangeArrowheads="1"/>
        </xdr:cNvSpPr>
      </xdr:nvSpPr>
      <xdr:spPr bwMode="auto">
        <a:xfrm>
          <a:off x="10096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742950</xdr:colOff>
      <xdr:row>70</xdr:row>
      <xdr:rowOff>76200</xdr:rowOff>
    </xdr:from>
    <xdr:to>
      <xdr:col>1</xdr:col>
      <xdr:colOff>819150</xdr:colOff>
      <xdr:row>71</xdr:row>
      <xdr:rowOff>57150</xdr:rowOff>
    </xdr:to>
    <xdr:sp macro="" textlink="">
      <xdr:nvSpPr>
        <xdr:cNvPr id="23667" name="Text Box 3"/>
        <xdr:cNvSpPr txBox="1">
          <a:spLocks noChangeArrowheads="1"/>
        </xdr:cNvSpPr>
      </xdr:nvSpPr>
      <xdr:spPr bwMode="auto">
        <a:xfrm>
          <a:off x="1009650" y="2278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199227</xdr:colOff>
      <xdr:row>13</xdr:row>
      <xdr:rowOff>142875</xdr:rowOff>
    </xdr:from>
    <xdr:to>
      <xdr:col>3</xdr:col>
      <xdr:colOff>834520</xdr:colOff>
      <xdr:row>14</xdr:row>
      <xdr:rowOff>160735</xdr:rowOff>
    </xdr:to>
    <xdr:sp macro="" textlink="">
      <xdr:nvSpPr>
        <xdr:cNvPr id="2" name="テキスト ボックス 1"/>
        <xdr:cNvSpPr txBox="1"/>
      </xdr:nvSpPr>
      <xdr:spPr>
        <a:xfrm>
          <a:off x="2647152" y="3609975"/>
          <a:ext cx="635293" cy="28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0</xdr:col>
      <xdr:colOff>68580</xdr:colOff>
      <xdr:row>0</xdr:row>
      <xdr:rowOff>76200</xdr:rowOff>
    </xdr:from>
    <xdr:to>
      <xdr:col>4</xdr:col>
      <xdr:colOff>927744</xdr:colOff>
      <xdr:row>1</xdr:row>
      <xdr:rowOff>104775</xdr:rowOff>
    </xdr:to>
    <xdr:sp macro="" textlink="">
      <xdr:nvSpPr>
        <xdr:cNvPr id="3" name="Text Box 1"/>
        <xdr:cNvSpPr txBox="1">
          <a:spLocks noChangeArrowheads="1"/>
        </xdr:cNvSpPr>
      </xdr:nvSpPr>
      <xdr:spPr bwMode="auto">
        <a:xfrm>
          <a:off x="68580" y="76200"/>
          <a:ext cx="4231014"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ysClr val="windowText" lastClr="000000"/>
              </a:solidFill>
              <a:latin typeface="ＭＳ Ｐゴシック"/>
              <a:ea typeface="ＭＳ Ｐゴシック"/>
            </a:rPr>
            <a:t>総括表④　将来負担比率の状況 （平成</a:t>
          </a:r>
          <a:r>
            <a:rPr lang="en-US" altLang="ja-JP" sz="1050" b="0" i="0" strike="noStrike">
              <a:solidFill>
                <a:sysClr val="windowText" lastClr="000000"/>
              </a:solidFill>
              <a:latin typeface="ＭＳ Ｐゴシック"/>
              <a:ea typeface="ＭＳ Ｐゴシック"/>
            </a:rPr>
            <a:t>26</a:t>
          </a:r>
          <a:r>
            <a:rPr lang="ja-JP" altLang="en-US" sz="1050" b="0" i="0" strike="noStrike">
              <a:solidFill>
                <a:sysClr val="windowText" lastClr="000000"/>
              </a:solidFill>
              <a:latin typeface="ＭＳ Ｐゴシック"/>
              <a:ea typeface="ＭＳ Ｐゴシック"/>
            </a:rPr>
            <a:t>年度決算）</a:t>
          </a:r>
        </a:p>
      </xdr:txBody>
    </xdr:sp>
    <xdr:clientData/>
  </xdr:twoCellAnchor>
  <xdr:twoCellAnchor>
    <xdr:from>
      <xdr:col>3</xdr:col>
      <xdr:colOff>202596</xdr:colOff>
      <xdr:row>16</xdr:row>
      <xdr:rowOff>149130</xdr:rowOff>
    </xdr:from>
    <xdr:to>
      <xdr:col>3</xdr:col>
      <xdr:colOff>837685</xdr:colOff>
      <xdr:row>17</xdr:row>
      <xdr:rowOff>166990</xdr:rowOff>
    </xdr:to>
    <xdr:sp macro="" textlink="">
      <xdr:nvSpPr>
        <xdr:cNvPr id="4" name="テキスト ボックス 3"/>
        <xdr:cNvSpPr txBox="1"/>
      </xdr:nvSpPr>
      <xdr:spPr>
        <a:xfrm>
          <a:off x="2650521" y="4416330"/>
          <a:ext cx="635089" cy="28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6</xdr:col>
      <xdr:colOff>194319</xdr:colOff>
      <xdr:row>14</xdr:row>
      <xdr:rowOff>273368</xdr:rowOff>
    </xdr:from>
    <xdr:to>
      <xdr:col>6</xdr:col>
      <xdr:colOff>829408</xdr:colOff>
      <xdr:row>15</xdr:row>
      <xdr:rowOff>291228</xdr:rowOff>
    </xdr:to>
    <xdr:sp macro="" textlink="">
      <xdr:nvSpPr>
        <xdr:cNvPr id="5" name="テキスト ボックス 4"/>
        <xdr:cNvSpPr txBox="1"/>
      </xdr:nvSpPr>
      <xdr:spPr>
        <a:xfrm>
          <a:off x="5623569" y="3997643"/>
          <a:ext cx="635089" cy="265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9</xdr:col>
      <xdr:colOff>197761</xdr:colOff>
      <xdr:row>14</xdr:row>
      <xdr:rowOff>276674</xdr:rowOff>
    </xdr:from>
    <xdr:to>
      <xdr:col>9</xdr:col>
      <xdr:colOff>832850</xdr:colOff>
      <xdr:row>15</xdr:row>
      <xdr:rowOff>294534</xdr:rowOff>
    </xdr:to>
    <xdr:sp macro="" textlink="">
      <xdr:nvSpPr>
        <xdr:cNvPr id="6" name="テキスト ボックス 5"/>
        <xdr:cNvSpPr txBox="1"/>
      </xdr:nvSpPr>
      <xdr:spPr>
        <a:xfrm>
          <a:off x="8398786" y="4000949"/>
          <a:ext cx="635089" cy="265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0</xdr:col>
      <xdr:colOff>243840</xdr:colOff>
      <xdr:row>15</xdr:row>
      <xdr:rowOff>142875</xdr:rowOff>
    </xdr:from>
    <xdr:to>
      <xdr:col>6</xdr:col>
      <xdr:colOff>99097</xdr:colOff>
      <xdr:row>15</xdr:row>
      <xdr:rowOff>142875</xdr:rowOff>
    </xdr:to>
    <xdr:cxnSp macro="">
      <xdr:nvCxnSpPr>
        <xdr:cNvPr id="7" name="直線コネクタ 6"/>
        <xdr:cNvCxnSpPr/>
      </xdr:nvCxnSpPr>
      <xdr:spPr>
        <a:xfrm>
          <a:off x="243840" y="4143375"/>
          <a:ext cx="528450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889635</xdr:colOff>
      <xdr:row>15</xdr:row>
      <xdr:rowOff>142875</xdr:rowOff>
    </xdr:from>
    <xdr:to>
      <xdr:col>9</xdr:col>
      <xdr:colOff>89535</xdr:colOff>
      <xdr:row>15</xdr:row>
      <xdr:rowOff>142875</xdr:rowOff>
    </xdr:to>
    <xdr:cxnSp macro="">
      <xdr:nvCxnSpPr>
        <xdr:cNvPr id="8" name="直線コネクタ 7"/>
        <xdr:cNvCxnSpPr/>
      </xdr:nvCxnSpPr>
      <xdr:spPr>
        <a:xfrm>
          <a:off x="6318885" y="4143375"/>
          <a:ext cx="19716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199227</xdr:colOff>
      <xdr:row>32</xdr:row>
      <xdr:rowOff>142875</xdr:rowOff>
    </xdr:from>
    <xdr:to>
      <xdr:col>3</xdr:col>
      <xdr:colOff>834520</xdr:colOff>
      <xdr:row>33</xdr:row>
      <xdr:rowOff>160735</xdr:rowOff>
    </xdr:to>
    <xdr:sp macro="" textlink="">
      <xdr:nvSpPr>
        <xdr:cNvPr id="9" name="テキスト ボックス 8"/>
        <xdr:cNvSpPr txBox="1"/>
      </xdr:nvSpPr>
      <xdr:spPr>
        <a:xfrm>
          <a:off x="2647152" y="8229600"/>
          <a:ext cx="635293" cy="28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3</xdr:col>
      <xdr:colOff>202596</xdr:colOff>
      <xdr:row>35</xdr:row>
      <xdr:rowOff>149130</xdr:rowOff>
    </xdr:from>
    <xdr:to>
      <xdr:col>3</xdr:col>
      <xdr:colOff>837685</xdr:colOff>
      <xdr:row>36</xdr:row>
      <xdr:rowOff>166990</xdr:rowOff>
    </xdr:to>
    <xdr:sp macro="" textlink="">
      <xdr:nvSpPr>
        <xdr:cNvPr id="10" name="テキスト ボックス 9"/>
        <xdr:cNvSpPr txBox="1"/>
      </xdr:nvSpPr>
      <xdr:spPr>
        <a:xfrm>
          <a:off x="2650521" y="9035955"/>
          <a:ext cx="635089" cy="28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6</xdr:col>
      <xdr:colOff>194319</xdr:colOff>
      <xdr:row>33</xdr:row>
      <xdr:rowOff>273368</xdr:rowOff>
    </xdr:from>
    <xdr:to>
      <xdr:col>6</xdr:col>
      <xdr:colOff>829408</xdr:colOff>
      <xdr:row>34</xdr:row>
      <xdr:rowOff>291228</xdr:rowOff>
    </xdr:to>
    <xdr:sp macro="" textlink="">
      <xdr:nvSpPr>
        <xdr:cNvPr id="11" name="テキスト ボックス 10"/>
        <xdr:cNvSpPr txBox="1"/>
      </xdr:nvSpPr>
      <xdr:spPr>
        <a:xfrm>
          <a:off x="5623569" y="8617268"/>
          <a:ext cx="635089" cy="265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9</xdr:col>
      <xdr:colOff>197761</xdr:colOff>
      <xdr:row>33</xdr:row>
      <xdr:rowOff>276674</xdr:rowOff>
    </xdr:from>
    <xdr:to>
      <xdr:col>9</xdr:col>
      <xdr:colOff>832850</xdr:colOff>
      <xdr:row>34</xdr:row>
      <xdr:rowOff>294534</xdr:rowOff>
    </xdr:to>
    <xdr:sp macro="" textlink="">
      <xdr:nvSpPr>
        <xdr:cNvPr id="12" name="テキスト ボックス 11"/>
        <xdr:cNvSpPr txBox="1"/>
      </xdr:nvSpPr>
      <xdr:spPr>
        <a:xfrm>
          <a:off x="8398786" y="8620574"/>
          <a:ext cx="635089" cy="265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0</xdr:col>
      <xdr:colOff>243840</xdr:colOff>
      <xdr:row>34</xdr:row>
      <xdr:rowOff>142875</xdr:rowOff>
    </xdr:from>
    <xdr:to>
      <xdr:col>6</xdr:col>
      <xdr:colOff>99097</xdr:colOff>
      <xdr:row>34</xdr:row>
      <xdr:rowOff>142875</xdr:rowOff>
    </xdr:to>
    <xdr:cxnSp macro="">
      <xdr:nvCxnSpPr>
        <xdr:cNvPr id="13" name="直線コネクタ 12"/>
        <xdr:cNvCxnSpPr/>
      </xdr:nvCxnSpPr>
      <xdr:spPr>
        <a:xfrm>
          <a:off x="243840" y="8763000"/>
          <a:ext cx="528450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889635</xdr:colOff>
      <xdr:row>34</xdr:row>
      <xdr:rowOff>142875</xdr:rowOff>
    </xdr:from>
    <xdr:to>
      <xdr:col>9</xdr:col>
      <xdr:colOff>89535</xdr:colOff>
      <xdr:row>34</xdr:row>
      <xdr:rowOff>142875</xdr:rowOff>
    </xdr:to>
    <xdr:cxnSp macro="">
      <xdr:nvCxnSpPr>
        <xdr:cNvPr id="14" name="直線コネクタ 13"/>
        <xdr:cNvCxnSpPr/>
      </xdr:nvCxnSpPr>
      <xdr:spPr>
        <a:xfrm>
          <a:off x="6318885" y="8763000"/>
          <a:ext cx="19716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199227</xdr:colOff>
      <xdr:row>53</xdr:row>
      <xdr:rowOff>142875</xdr:rowOff>
    </xdr:from>
    <xdr:to>
      <xdr:col>3</xdr:col>
      <xdr:colOff>834520</xdr:colOff>
      <xdr:row>54</xdr:row>
      <xdr:rowOff>160735</xdr:rowOff>
    </xdr:to>
    <xdr:sp macro="" textlink="">
      <xdr:nvSpPr>
        <xdr:cNvPr id="15" name="テキスト ボックス 14"/>
        <xdr:cNvSpPr txBox="1"/>
      </xdr:nvSpPr>
      <xdr:spPr>
        <a:xfrm>
          <a:off x="2647152" y="13039725"/>
          <a:ext cx="635293" cy="28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3</xdr:col>
      <xdr:colOff>202596</xdr:colOff>
      <xdr:row>56</xdr:row>
      <xdr:rowOff>149130</xdr:rowOff>
    </xdr:from>
    <xdr:to>
      <xdr:col>3</xdr:col>
      <xdr:colOff>837685</xdr:colOff>
      <xdr:row>57</xdr:row>
      <xdr:rowOff>166990</xdr:rowOff>
    </xdr:to>
    <xdr:sp macro="" textlink="">
      <xdr:nvSpPr>
        <xdr:cNvPr id="16" name="テキスト ボックス 15"/>
        <xdr:cNvSpPr txBox="1"/>
      </xdr:nvSpPr>
      <xdr:spPr>
        <a:xfrm>
          <a:off x="2650521" y="13846080"/>
          <a:ext cx="635089" cy="28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6</xdr:col>
      <xdr:colOff>194319</xdr:colOff>
      <xdr:row>54</xdr:row>
      <xdr:rowOff>273368</xdr:rowOff>
    </xdr:from>
    <xdr:to>
      <xdr:col>6</xdr:col>
      <xdr:colOff>829408</xdr:colOff>
      <xdr:row>55</xdr:row>
      <xdr:rowOff>291228</xdr:rowOff>
    </xdr:to>
    <xdr:sp macro="" textlink="">
      <xdr:nvSpPr>
        <xdr:cNvPr id="17" name="テキスト ボックス 16"/>
        <xdr:cNvSpPr txBox="1"/>
      </xdr:nvSpPr>
      <xdr:spPr>
        <a:xfrm>
          <a:off x="5623569" y="13427393"/>
          <a:ext cx="635089" cy="265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9</xdr:col>
      <xdr:colOff>197761</xdr:colOff>
      <xdr:row>54</xdr:row>
      <xdr:rowOff>276674</xdr:rowOff>
    </xdr:from>
    <xdr:to>
      <xdr:col>9</xdr:col>
      <xdr:colOff>832850</xdr:colOff>
      <xdr:row>55</xdr:row>
      <xdr:rowOff>294534</xdr:rowOff>
    </xdr:to>
    <xdr:sp macro="" textlink="">
      <xdr:nvSpPr>
        <xdr:cNvPr id="18" name="テキスト ボックス 17"/>
        <xdr:cNvSpPr txBox="1"/>
      </xdr:nvSpPr>
      <xdr:spPr>
        <a:xfrm>
          <a:off x="8398786" y="13430699"/>
          <a:ext cx="635089" cy="265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0</xdr:col>
      <xdr:colOff>243840</xdr:colOff>
      <xdr:row>55</xdr:row>
      <xdr:rowOff>142875</xdr:rowOff>
    </xdr:from>
    <xdr:to>
      <xdr:col>6</xdr:col>
      <xdr:colOff>99097</xdr:colOff>
      <xdr:row>55</xdr:row>
      <xdr:rowOff>142875</xdr:rowOff>
    </xdr:to>
    <xdr:cxnSp macro="">
      <xdr:nvCxnSpPr>
        <xdr:cNvPr id="19" name="直線コネクタ 18"/>
        <xdr:cNvCxnSpPr/>
      </xdr:nvCxnSpPr>
      <xdr:spPr>
        <a:xfrm>
          <a:off x="243840" y="13573125"/>
          <a:ext cx="528450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889635</xdr:colOff>
      <xdr:row>55</xdr:row>
      <xdr:rowOff>142875</xdr:rowOff>
    </xdr:from>
    <xdr:to>
      <xdr:col>9</xdr:col>
      <xdr:colOff>89535</xdr:colOff>
      <xdr:row>55</xdr:row>
      <xdr:rowOff>142875</xdr:rowOff>
    </xdr:to>
    <xdr:cxnSp macro="">
      <xdr:nvCxnSpPr>
        <xdr:cNvPr id="20" name="直線コネクタ 19"/>
        <xdr:cNvCxnSpPr/>
      </xdr:nvCxnSpPr>
      <xdr:spPr>
        <a:xfrm>
          <a:off x="6318885" y="13573125"/>
          <a:ext cx="19716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13\zaisei\&#36001;&#25919;\&#36001;&#25919;&#20581;&#20840;&#21270;\H27(H26&#27770;&#31639;)\040&#25552;&#20986;&#27096;&#24335;(H26&#27770;&#31639;&#65289;\20&#31282;&#27810;&#24066;&#20581;&#20840;&#21270;&#21028;&#26029;&#27604;&#29575;&#31639;&#2345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001;&#25919;/&#36001;&#25919;&#20581;&#20840;&#21270;/H30(H29&#27770;&#31639;)/050&#22577;&#21578;&#65288;&#30476;&#12539;&#35696;&#20250;&#12539;&#30435;&#26619;&#65289;/&#21332;&#35696;&#20250;&#12539;&#24193;&#35696;/H26&#20581;&#20840;&#21270;&#21028;&#26029;&#27604;&#29575;&#30435;&#26619;&#22577;&#21578;&#65288;0723&#12498;&#12450;&#24460;&#20462;&#2749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
      <sheetName val="集計用データ"/>
      <sheetName val="総括表①"/>
      <sheetName val="総括表②"/>
      <sheetName val="総括表③"/>
      <sheetName val="総括表④"/>
      <sheetName val="１①②"/>
      <sheetName val="１①純計"/>
      <sheetName val="４①"/>
      <sheetName val="４④"/>
      <sheetName val="４⑤A"/>
      <sheetName val="４⑤B"/>
      <sheetName val="４⑤C"/>
      <sheetName val="４⑤D"/>
      <sheetName val="４⑥Ａ"/>
      <sheetName val="４⑥Ｂ・C"/>
      <sheetName val="４⑥Ｃ"/>
      <sheetName val="４⑥C・E"/>
      <sheetName val="４⑥Ｄ"/>
      <sheetName val="４⑥Ｆ"/>
      <sheetName val="４⑦"/>
      <sheetName val="４⑧"/>
      <sheetName val="４⑨Ａ"/>
      <sheetName val="４⑨Ｂ"/>
      <sheetName val="４⑨Ｃ"/>
    </sheetNames>
    <sheetDataSet>
      <sheetData sheetId="0" refreshError="1"/>
      <sheetData sheetId="1" refreshError="1"/>
      <sheetData sheetId="2">
        <row r="10">
          <cell r="C10" t="str">
            <v>愛知県</v>
          </cell>
          <cell r="D10" t="str">
            <v>稲沢市</v>
          </cell>
        </row>
      </sheetData>
      <sheetData sheetId="3"/>
      <sheetData sheetId="4"/>
      <sheetData sheetId="5" refreshError="1"/>
      <sheetData sheetId="6"/>
      <sheetData sheetId="7" refreshError="1"/>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refreshError="1"/>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表紙裏"/>
      <sheetName val="健全化判断比率"/>
      <sheetName val="実質赤字"/>
      <sheetName val="連結実質赤字1"/>
      <sheetName val="連結実質赤字2"/>
      <sheetName val="実質公債費"/>
      <sheetName val="将来負担"/>
      <sheetName val="資金不足比率"/>
      <sheetName val="参考"/>
      <sheetName val="Sheet4"/>
      <sheetName val="Sheet2"/>
      <sheetName val="Sheet1"/>
      <sheetName val="文言"/>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L11">
            <v>63785858</v>
          </cell>
        </row>
        <row r="12">
          <cell r="L12">
            <v>12742440</v>
          </cell>
        </row>
        <row r="13">
          <cell r="L13">
            <v>8456090</v>
          </cell>
        </row>
        <row r="14">
          <cell r="L14">
            <v>41771582</v>
          </cell>
        </row>
        <row r="15">
          <cell r="L15">
            <v>27772944</v>
          </cell>
        </row>
        <row r="16">
          <cell r="L16">
            <v>3842217</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6"/>
  <sheetViews>
    <sheetView tabSelected="1" view="pageBreakPreview" topLeftCell="A61" zoomScaleNormal="100" zoomScaleSheetLayoutView="100" workbookViewId="0">
      <selection activeCell="S81" sqref="S81"/>
    </sheetView>
  </sheetViews>
  <sheetFormatPr defaultRowHeight="13.5"/>
  <cols>
    <col min="1" max="1" width="1.25" style="143" customWidth="1"/>
    <col min="2" max="2" width="7.125" style="143" customWidth="1"/>
    <col min="3" max="3" width="9" style="143"/>
    <col min="4" max="4" width="2.375" style="143" customWidth="1"/>
    <col min="5" max="5" width="12.75" style="143" customWidth="1"/>
    <col min="6" max="6" width="2.625" style="143" customWidth="1"/>
    <col min="7" max="7" width="11.625" style="143" customWidth="1"/>
    <col min="8" max="8" width="2.625" style="143" customWidth="1"/>
    <col min="9" max="9" width="11.625" style="143" customWidth="1"/>
    <col min="10" max="10" width="2.625" style="143" customWidth="1"/>
    <col min="11" max="11" width="12.75" style="143" customWidth="1"/>
    <col min="12" max="12" width="2.625" style="143" customWidth="1"/>
    <col min="13" max="13" width="11.625" style="143" customWidth="1"/>
    <col min="14" max="14" width="2.625" style="143" customWidth="1"/>
    <col min="15" max="15" width="11.625" style="143" customWidth="1"/>
    <col min="16" max="16" width="2.625" style="143" customWidth="1"/>
    <col min="17" max="17" width="11.625" style="145" customWidth="1"/>
    <col min="18" max="18" width="11.25" style="143" customWidth="1"/>
    <col min="19" max="19" width="8.5" style="143" customWidth="1"/>
    <col min="20" max="20" width="12.875" style="143" bestFit="1" customWidth="1"/>
    <col min="21" max="21" width="9.5" style="143" customWidth="1"/>
    <col min="22" max="22" width="3.625" style="143" customWidth="1"/>
    <col min="23" max="26" width="10.125" style="143" customWidth="1"/>
    <col min="27" max="27" width="12.625" style="143" customWidth="1"/>
    <col min="28" max="16384" width="9" style="143"/>
  </cols>
  <sheetData>
    <row r="1" spans="2:22" ht="22.5" customHeight="1">
      <c r="C1" s="144" t="s">
        <v>847</v>
      </c>
      <c r="D1" s="144"/>
      <c r="E1" s="144"/>
      <c r="F1" s="144"/>
      <c r="G1" s="144"/>
      <c r="H1" s="144"/>
      <c r="I1" s="144"/>
      <c r="J1" s="144"/>
      <c r="K1" s="144"/>
      <c r="L1" s="144"/>
      <c r="M1" s="144"/>
      <c r="O1" s="237"/>
      <c r="Q1" s="238" t="s">
        <v>418</v>
      </c>
    </row>
    <row r="2" spans="2:22" ht="9" customHeight="1"/>
    <row r="3" spans="2:22" ht="17.25">
      <c r="C3" s="146"/>
      <c r="D3" s="146"/>
      <c r="E3" s="146"/>
      <c r="F3" s="146"/>
      <c r="I3" s="225" t="s">
        <v>213</v>
      </c>
      <c r="J3" s="146"/>
      <c r="K3" s="239" t="s">
        <v>413</v>
      </c>
      <c r="L3" s="146"/>
      <c r="M3" s="146"/>
    </row>
    <row r="4" spans="2:22" ht="17.25">
      <c r="C4" s="146"/>
      <c r="D4" s="146"/>
      <c r="E4" s="146"/>
      <c r="F4" s="146"/>
      <c r="I4" s="146"/>
      <c r="J4" s="146"/>
      <c r="K4" s="239" t="s">
        <v>404</v>
      </c>
      <c r="L4" s="146"/>
      <c r="M4" s="146"/>
    </row>
    <row r="6" spans="2:22" ht="18.75" customHeight="1">
      <c r="B6" s="147" t="s">
        <v>243</v>
      </c>
    </row>
    <row r="7" spans="2:22" ht="18.75" customHeight="1">
      <c r="B7" s="148" t="s">
        <v>423</v>
      </c>
      <c r="C7" s="149"/>
      <c r="D7" s="149"/>
      <c r="F7" s="150" t="s">
        <v>114</v>
      </c>
      <c r="G7" s="149"/>
    </row>
    <row r="8" spans="2:22" ht="15" customHeight="1"/>
    <row r="9" spans="2:22" ht="15" customHeight="1" thickBot="1">
      <c r="B9" s="225" t="s">
        <v>115</v>
      </c>
      <c r="C9" s="225"/>
      <c r="D9" s="225"/>
    </row>
    <row r="10" spans="2:22" ht="15" customHeight="1">
      <c r="B10" s="222"/>
      <c r="C10" s="843" t="s">
        <v>106</v>
      </c>
      <c r="D10" s="843"/>
      <c r="E10" s="843"/>
      <c r="F10" s="843" t="s">
        <v>38</v>
      </c>
      <c r="G10" s="856" t="s">
        <v>117</v>
      </c>
      <c r="H10" s="856"/>
      <c r="I10" s="856"/>
      <c r="J10" s="848" t="s">
        <v>38</v>
      </c>
      <c r="K10" s="250">
        <f>実質赤字比率!I5</f>
        <v>-2023379</v>
      </c>
      <c r="L10" s="848" t="s">
        <v>38</v>
      </c>
      <c r="M10" s="151" t="s">
        <v>36</v>
      </c>
    </row>
    <row r="11" spans="2:22" ht="15" customHeight="1" thickBot="1">
      <c r="B11" s="222"/>
      <c r="C11" s="843"/>
      <c r="D11" s="843"/>
      <c r="E11" s="843"/>
      <c r="F11" s="843"/>
      <c r="G11" s="857" t="s">
        <v>112</v>
      </c>
      <c r="H11" s="857"/>
      <c r="I11" s="857"/>
      <c r="J11" s="848"/>
      <c r="K11" s="490">
        <f>実質赤字比率!J5</f>
        <v>31417985</v>
      </c>
      <c r="L11" s="848"/>
      <c r="M11" s="152">
        <f>S11*-1</f>
        <v>6.44</v>
      </c>
      <c r="Q11" s="143"/>
      <c r="S11" s="145">
        <f>ROUNDDOWN(K10/K11*100,2)</f>
        <v>-6.44</v>
      </c>
      <c r="T11" s="145"/>
      <c r="U11" s="145"/>
      <c r="V11" s="145"/>
    </row>
    <row r="12" spans="2:22" ht="15" customHeight="1" thickBot="1">
      <c r="B12" s="222"/>
      <c r="C12" s="222"/>
      <c r="D12" s="222"/>
      <c r="E12" s="222"/>
      <c r="F12" s="222"/>
      <c r="G12" s="153"/>
      <c r="H12" s="153"/>
      <c r="I12" s="153"/>
      <c r="J12" s="223"/>
      <c r="K12" s="154"/>
      <c r="L12" s="223"/>
      <c r="M12" s="155"/>
    </row>
    <row r="13" spans="2:22" ht="18.75" customHeight="1" thickBot="1">
      <c r="B13" s="222"/>
      <c r="C13" s="222"/>
      <c r="D13" s="222"/>
      <c r="E13" s="222"/>
      <c r="F13" s="854" t="s">
        <v>210</v>
      </c>
      <c r="G13" s="855"/>
      <c r="H13" s="855"/>
      <c r="I13" s="240">
        <f>実質赤字比率!L5</f>
        <v>11.742870962284819</v>
      </c>
      <c r="J13" s="866" t="s">
        <v>211</v>
      </c>
      <c r="K13" s="866"/>
      <c r="L13" s="866"/>
      <c r="M13" s="241">
        <f>実質赤字比率!M5</f>
        <v>20</v>
      </c>
    </row>
    <row r="14" spans="2:22" ht="16.5" customHeight="1">
      <c r="B14" s="222"/>
      <c r="C14" s="222"/>
      <c r="D14" s="222"/>
      <c r="E14" s="222"/>
      <c r="F14" s="222"/>
      <c r="G14" s="153"/>
      <c r="H14" s="153"/>
      <c r="I14" s="153"/>
      <c r="J14" s="223"/>
      <c r="K14" s="154"/>
      <c r="L14" s="223"/>
      <c r="M14" s="155"/>
    </row>
    <row r="15" spans="2:22" ht="16.5" customHeight="1">
      <c r="B15" s="222"/>
      <c r="C15" s="222"/>
      <c r="D15" s="222"/>
      <c r="E15" s="222"/>
      <c r="F15" s="222"/>
      <c r="G15" s="153"/>
      <c r="H15" s="153"/>
      <c r="I15" s="153"/>
      <c r="J15" s="223"/>
      <c r="K15" s="154"/>
      <c r="L15" s="223"/>
      <c r="M15" s="155"/>
    </row>
    <row r="16" spans="2:22" ht="16.5" customHeight="1">
      <c r="F16" s="223"/>
      <c r="G16" s="145"/>
    </row>
    <row r="17" spans="2:22" ht="18.75" customHeight="1">
      <c r="B17" s="148" t="s">
        <v>239</v>
      </c>
      <c r="C17" s="149"/>
      <c r="D17" s="149"/>
      <c r="F17" s="150" t="s">
        <v>135</v>
      </c>
    </row>
    <row r="18" spans="2:22" ht="15" customHeight="1"/>
    <row r="19" spans="2:22" ht="15" customHeight="1" thickBot="1">
      <c r="B19" s="225" t="s">
        <v>115</v>
      </c>
    </row>
    <row r="20" spans="2:22" ht="15" customHeight="1">
      <c r="C20" s="843" t="s">
        <v>134</v>
      </c>
      <c r="D20" s="843"/>
      <c r="E20" s="843"/>
      <c r="F20" s="843" t="s">
        <v>38</v>
      </c>
      <c r="G20" s="856" t="s">
        <v>137</v>
      </c>
      <c r="H20" s="856"/>
      <c r="I20" s="856"/>
      <c r="J20" s="848" t="s">
        <v>38</v>
      </c>
      <c r="K20" s="250">
        <f>連結実質赤字比率!I5</f>
        <v>-8233409</v>
      </c>
      <c r="L20" s="848" t="s">
        <v>38</v>
      </c>
      <c r="M20" s="156" t="s">
        <v>36</v>
      </c>
      <c r="S20" s="145">
        <f>ROUNDDOWN(K20/K21*100,2)</f>
        <v>-26.2</v>
      </c>
      <c r="T20" s="145"/>
      <c r="U20" s="145"/>
      <c r="V20" s="145"/>
    </row>
    <row r="21" spans="2:22" ht="15" customHeight="1" thickBot="1">
      <c r="C21" s="843"/>
      <c r="D21" s="843"/>
      <c r="E21" s="843"/>
      <c r="F21" s="843"/>
      <c r="G21" s="857" t="s">
        <v>112</v>
      </c>
      <c r="H21" s="857"/>
      <c r="I21" s="857"/>
      <c r="J21" s="848"/>
      <c r="K21" s="490">
        <f>K11</f>
        <v>31417985</v>
      </c>
      <c r="L21" s="848"/>
      <c r="M21" s="152">
        <f>S20*-1</f>
        <v>26.2</v>
      </c>
      <c r="Q21" s="143"/>
    </row>
    <row r="22" spans="2:22" ht="15" customHeight="1" thickBot="1">
      <c r="C22" s="222"/>
      <c r="D22" s="222"/>
      <c r="E22" s="222"/>
      <c r="F22" s="222"/>
      <c r="G22" s="153"/>
      <c r="H22" s="153"/>
      <c r="I22" s="153"/>
      <c r="J22" s="223"/>
      <c r="K22" s="154"/>
      <c r="L22" s="223"/>
      <c r="M22" s="155"/>
    </row>
    <row r="23" spans="2:22" ht="18.75" customHeight="1" thickBot="1">
      <c r="C23" s="222"/>
      <c r="D23" s="222"/>
      <c r="E23" s="222"/>
      <c r="F23" s="854" t="s">
        <v>210</v>
      </c>
      <c r="G23" s="855"/>
      <c r="H23" s="855"/>
      <c r="I23" s="240">
        <f>連結実質赤字比率!L5</f>
        <v>16.742870962284819</v>
      </c>
      <c r="J23" s="866" t="s">
        <v>211</v>
      </c>
      <c r="K23" s="866"/>
      <c r="L23" s="866"/>
      <c r="M23" s="241">
        <f>連結実質赤字比率!M5</f>
        <v>30</v>
      </c>
    </row>
    <row r="24" spans="2:22" ht="16.5" customHeight="1">
      <c r="C24" s="222"/>
      <c r="D24" s="222"/>
      <c r="E24" s="222"/>
      <c r="F24" s="222"/>
      <c r="G24" s="153"/>
      <c r="H24" s="153"/>
      <c r="I24" s="153"/>
      <c r="J24" s="223"/>
      <c r="K24" s="154"/>
      <c r="L24" s="223"/>
      <c r="M24" s="155"/>
    </row>
    <row r="25" spans="2:22" ht="16.5" customHeight="1">
      <c r="C25" s="222"/>
      <c r="D25" s="222"/>
      <c r="E25" s="222"/>
      <c r="F25" s="222"/>
      <c r="G25" s="153"/>
      <c r="H25" s="153"/>
      <c r="I25" s="153"/>
      <c r="J25" s="223"/>
      <c r="K25" s="154"/>
      <c r="L25" s="223"/>
      <c r="M25" s="155"/>
    </row>
    <row r="26" spans="2:22" ht="16.5" customHeight="1"/>
    <row r="27" spans="2:22" ht="18.75" customHeight="1">
      <c r="B27" s="148" t="s">
        <v>240</v>
      </c>
      <c r="C27" s="149"/>
      <c r="D27" s="149"/>
      <c r="F27" s="150" t="s">
        <v>773</v>
      </c>
    </row>
    <row r="28" spans="2:22" ht="15" customHeight="1">
      <c r="F28" s="150" t="s">
        <v>774</v>
      </c>
    </row>
    <row r="29" spans="2:22" ht="15" customHeight="1">
      <c r="F29" s="150"/>
    </row>
    <row r="30" spans="2:22" ht="15" customHeight="1">
      <c r="B30" s="225" t="s">
        <v>115</v>
      </c>
    </row>
    <row r="31" spans="2:22" ht="27.75" customHeight="1">
      <c r="C31" s="864" t="s">
        <v>428</v>
      </c>
      <c r="D31" s="864"/>
      <c r="E31" s="843"/>
      <c r="F31" s="843" t="s">
        <v>38</v>
      </c>
      <c r="G31" s="863" t="s">
        <v>206</v>
      </c>
      <c r="H31" s="863"/>
      <c r="I31" s="863"/>
      <c r="J31" s="863"/>
      <c r="K31" s="863"/>
      <c r="L31" s="863"/>
      <c r="M31" s="863"/>
      <c r="N31" s="863"/>
      <c r="O31" s="863"/>
    </row>
    <row r="32" spans="2:22" ht="15" customHeight="1">
      <c r="C32" s="843"/>
      <c r="D32" s="843"/>
      <c r="E32" s="843"/>
      <c r="F32" s="843"/>
      <c r="G32" s="865" t="s">
        <v>105</v>
      </c>
      <c r="H32" s="865"/>
      <c r="I32" s="865"/>
      <c r="J32" s="865"/>
      <c r="K32" s="865"/>
      <c r="L32" s="865"/>
      <c r="M32" s="865"/>
      <c r="N32" s="865"/>
      <c r="O32" s="865"/>
    </row>
    <row r="33" spans="3:26" ht="4.5" customHeight="1"/>
    <row r="34" spans="3:26" ht="15" customHeight="1">
      <c r="C34" s="849" t="s">
        <v>786</v>
      </c>
      <c r="D34" s="849"/>
      <c r="E34" s="849"/>
      <c r="F34" s="223" t="s">
        <v>38</v>
      </c>
      <c r="G34" s="244">
        <f>実質公債費比率!C22</f>
        <v>4230171</v>
      </c>
      <c r="H34" s="242" t="s">
        <v>37</v>
      </c>
      <c r="I34" s="243">
        <f>実質公債費比率!F22+実質公債費比率!H22</f>
        <v>1074185</v>
      </c>
      <c r="J34" s="242" t="s">
        <v>36</v>
      </c>
      <c r="K34" s="244">
        <f>実質公債費比率!J22</f>
        <v>698962</v>
      </c>
      <c r="L34" s="242" t="s">
        <v>37</v>
      </c>
      <c r="M34" s="243">
        <f>実質公債費比率!K22+実質公債費比率!L22+実質公債費比率!C28</f>
        <v>3947041</v>
      </c>
      <c r="N34" s="223" t="s">
        <v>38</v>
      </c>
      <c r="O34" s="245">
        <f>(G34+I34-K34-M34)/(I35-K35)*100</f>
        <v>2.5774382881831834</v>
      </c>
      <c r="P34" s="154"/>
      <c r="S34" s="145" t="str">
        <f>IF(O34=実質公債費比率!I28,"ok","error")</f>
        <v>ok</v>
      </c>
      <c r="T34" s="154">
        <f>G34+I34-K34-M34</f>
        <v>658353</v>
      </c>
      <c r="U34" s="145"/>
      <c r="V34" s="145"/>
      <c r="W34" s="154"/>
      <c r="X34" s="154"/>
    </row>
    <row r="35" spans="3:26" ht="15" customHeight="1">
      <c r="C35" s="849"/>
      <c r="D35" s="849"/>
      <c r="E35" s="849"/>
      <c r="F35" s="223"/>
      <c r="G35" s="154"/>
      <c r="I35" s="165">
        <f>実質公債費比率!D28+実質公債費比率!E28+実質公債費比率!F28</f>
        <v>29489961</v>
      </c>
      <c r="J35" s="164" t="s">
        <v>36</v>
      </c>
      <c r="K35" s="165">
        <f>M34</f>
        <v>3947041</v>
      </c>
      <c r="N35" s="223"/>
      <c r="O35" s="245"/>
      <c r="P35" s="157"/>
      <c r="S35" s="145"/>
      <c r="T35" s="145">
        <f>I35-K35</f>
        <v>25542920</v>
      </c>
      <c r="U35" s="158">
        <f>T34/T35</f>
        <v>2.5774382881831835E-2</v>
      </c>
      <c r="V35" s="158"/>
      <c r="W35" s="157"/>
    </row>
    <row r="36" spans="3:26" ht="4.5" customHeight="1">
      <c r="O36" s="246"/>
      <c r="S36" s="145"/>
      <c r="T36" s="145"/>
      <c r="U36" s="159"/>
      <c r="V36" s="159"/>
    </row>
    <row r="37" spans="3:26" ht="15" customHeight="1">
      <c r="C37" s="849" t="s">
        <v>825</v>
      </c>
      <c r="D37" s="849"/>
      <c r="E37" s="849"/>
      <c r="F37" s="848" t="s">
        <v>38</v>
      </c>
      <c r="G37" s="244">
        <f>実質公債費比率!C23</f>
        <v>4879798</v>
      </c>
      <c r="H37" s="242" t="s">
        <v>37</v>
      </c>
      <c r="I37" s="243">
        <f>実質公債費比率!F23+実質公債費比率!H23</f>
        <v>1125438</v>
      </c>
      <c r="J37" s="242" t="s">
        <v>36</v>
      </c>
      <c r="K37" s="244">
        <f>実質公債費比率!J23</f>
        <v>631966</v>
      </c>
      <c r="L37" s="242" t="s">
        <v>37</v>
      </c>
      <c r="M37" s="243">
        <f>実質公債費比率!K23+実質公債費比率!L23+実質公債費比率!C29</f>
        <v>4196308</v>
      </c>
      <c r="N37" s="848" t="s">
        <v>38</v>
      </c>
      <c r="O37" s="851">
        <f>(G37+I37-K37-M37)/(I38-K38)*100</f>
        <v>4.4823687170071587</v>
      </c>
      <c r="S37" s="145" t="str">
        <f>IF(O37=実質公債費比率!I29,"ok","error")</f>
        <v>ok</v>
      </c>
      <c r="T37" s="154">
        <f>G37+I37-K37-M37</f>
        <v>1176962</v>
      </c>
      <c r="U37" s="159"/>
      <c r="V37" s="159"/>
      <c r="W37" s="160">
        <f>G37-G34</f>
        <v>649627</v>
      </c>
      <c r="X37" s="160">
        <f>I37-I34</f>
        <v>51253</v>
      </c>
      <c r="Y37" s="160">
        <f>K37-K34</f>
        <v>-66996</v>
      </c>
      <c r="Z37" s="160">
        <f>M37-M34</f>
        <v>249267</v>
      </c>
    </row>
    <row r="38" spans="3:26" ht="15" customHeight="1">
      <c r="C38" s="849"/>
      <c r="D38" s="849"/>
      <c r="E38" s="849"/>
      <c r="F38" s="848"/>
      <c r="G38" s="154"/>
      <c r="I38" s="165">
        <f>実質公債費比率!D29+実質公債費比率!E29+実質公債費比率!F29</f>
        <v>30453898</v>
      </c>
      <c r="J38" s="164" t="s">
        <v>36</v>
      </c>
      <c r="K38" s="165">
        <f>M37</f>
        <v>4196308</v>
      </c>
      <c r="N38" s="848"/>
      <c r="O38" s="851"/>
      <c r="S38" s="145"/>
      <c r="T38" s="145">
        <f>I38-K38</f>
        <v>26257590</v>
      </c>
      <c r="U38" s="158">
        <f>T37/T38</f>
        <v>4.482368717007159E-2</v>
      </c>
      <c r="V38" s="158"/>
      <c r="W38" s="161">
        <f>I38-I35</f>
        <v>963937</v>
      </c>
      <c r="Y38" s="161">
        <f>K38-K35</f>
        <v>249267</v>
      </c>
    </row>
    <row r="39" spans="3:26" ht="4.5" customHeight="1">
      <c r="O39" s="246"/>
      <c r="S39" s="145"/>
      <c r="T39" s="145"/>
      <c r="U39" s="159"/>
      <c r="V39" s="159"/>
    </row>
    <row r="40" spans="3:26" ht="15" customHeight="1">
      <c r="C40" s="849" t="s">
        <v>827</v>
      </c>
      <c r="D40" s="849"/>
      <c r="E40" s="849"/>
      <c r="F40" s="848" t="s">
        <v>38</v>
      </c>
      <c r="G40" s="244">
        <f>実質公債費比率!J11</f>
        <v>5012890</v>
      </c>
      <c r="H40" s="242" t="s">
        <v>37</v>
      </c>
      <c r="I40" s="243">
        <f>実質公債費比率!J12</f>
        <v>1280143</v>
      </c>
      <c r="J40" s="242" t="s">
        <v>36</v>
      </c>
      <c r="K40" s="244">
        <f>実質公債費比率!J13</f>
        <v>696453</v>
      </c>
      <c r="L40" s="242" t="s">
        <v>37</v>
      </c>
      <c r="M40" s="243">
        <f>実質公債費比率!J14</f>
        <v>4156041</v>
      </c>
      <c r="N40" s="848" t="s">
        <v>38</v>
      </c>
      <c r="O40" s="851">
        <f>(G40+I40-K40-M40)/(I41-K41)*100</f>
        <v>5.2840655824104106</v>
      </c>
      <c r="S40" s="145" t="str">
        <f>IF(O40=実質公債費比率!I30,"ok","error")</f>
        <v>ok</v>
      </c>
      <c r="T40" s="154">
        <f>G40+I40-K40-M40</f>
        <v>1440539</v>
      </c>
      <c r="U40" s="159"/>
      <c r="V40" s="159"/>
      <c r="W40" s="160">
        <f>G40-G37</f>
        <v>133092</v>
      </c>
      <c r="X40" s="160">
        <f>I40-I37</f>
        <v>154705</v>
      </c>
      <c r="Y40" s="162">
        <f>K40-K37</f>
        <v>64487</v>
      </c>
      <c r="Z40" s="160">
        <f>M40-M37</f>
        <v>-40267</v>
      </c>
    </row>
    <row r="41" spans="3:26" ht="15" customHeight="1">
      <c r="C41" s="849"/>
      <c r="D41" s="849"/>
      <c r="E41" s="849"/>
      <c r="F41" s="848"/>
      <c r="G41" s="154"/>
      <c r="I41" s="165">
        <f>実質公債費比率!J15</f>
        <v>31417985</v>
      </c>
      <c r="J41" s="164" t="s">
        <v>36</v>
      </c>
      <c r="K41" s="165">
        <f>実質公債費比率!J14</f>
        <v>4156041</v>
      </c>
      <c r="N41" s="848"/>
      <c r="O41" s="851"/>
      <c r="T41" s="145">
        <f>I41-K41</f>
        <v>27261944</v>
      </c>
      <c r="U41" s="158">
        <f>T40/T41</f>
        <v>5.2840655824104105E-2</v>
      </c>
      <c r="V41" s="158"/>
      <c r="W41" s="161">
        <f>I41-I38</f>
        <v>964087</v>
      </c>
      <c r="Y41" s="161">
        <f>K41-K38</f>
        <v>-40267</v>
      </c>
    </row>
    <row r="42" spans="3:26" ht="4.5" customHeight="1" thickBot="1"/>
    <row r="43" spans="3:26" ht="15" customHeight="1">
      <c r="C43" s="849" t="s">
        <v>642</v>
      </c>
      <c r="D43" s="849"/>
      <c r="E43" s="849"/>
      <c r="F43" s="848" t="s">
        <v>38</v>
      </c>
      <c r="G43" s="247">
        <f>O34</f>
        <v>2.5774382881831834</v>
      </c>
      <c r="H43" s="247" t="s">
        <v>37</v>
      </c>
      <c r="I43" s="499">
        <f>O37</f>
        <v>4.4823687170071587</v>
      </c>
      <c r="J43" s="247" t="s">
        <v>37</v>
      </c>
      <c r="K43" s="499">
        <f>O40</f>
        <v>5.2840655824104106</v>
      </c>
      <c r="L43" s="848" t="s">
        <v>38</v>
      </c>
      <c r="M43" s="859">
        <f>ROUNDDOWN((G43+I43+K43)/I44,1)</f>
        <v>4.0999999999999996</v>
      </c>
      <c r="N43" s="848"/>
      <c r="O43" s="858"/>
      <c r="U43" s="163">
        <f>AVERAGE(U35,U38,U41)</f>
        <v>4.1146241958669179E-2</v>
      </c>
      <c r="V43" s="163"/>
    </row>
    <row r="44" spans="3:26" ht="15" customHeight="1" thickBot="1">
      <c r="C44" s="849"/>
      <c r="D44" s="849"/>
      <c r="E44" s="849"/>
      <c r="F44" s="848"/>
      <c r="G44" s="154"/>
      <c r="I44" s="165">
        <v>3</v>
      </c>
      <c r="J44" s="164"/>
      <c r="K44" s="166"/>
      <c r="L44" s="848"/>
      <c r="M44" s="860"/>
      <c r="N44" s="848"/>
      <c r="O44" s="858"/>
    </row>
    <row r="45" spans="3:26" ht="15" customHeight="1" thickBot="1">
      <c r="C45" s="164"/>
      <c r="D45" s="164"/>
      <c r="E45" s="164"/>
      <c r="F45" s="223"/>
      <c r="G45" s="154"/>
      <c r="I45" s="165"/>
      <c r="J45" s="164"/>
      <c r="K45" s="166"/>
      <c r="L45" s="223"/>
      <c r="M45" s="167"/>
      <c r="N45" s="223"/>
      <c r="O45" s="224"/>
    </row>
    <row r="46" spans="3:26" ht="18.75" customHeight="1" thickBot="1">
      <c r="C46" s="164"/>
      <c r="D46" s="164"/>
      <c r="E46" s="164"/>
      <c r="F46" s="854" t="s">
        <v>210</v>
      </c>
      <c r="G46" s="855"/>
      <c r="H46" s="855"/>
      <c r="I46" s="248">
        <f>実質公債費比率!K13</f>
        <v>25</v>
      </c>
      <c r="J46" s="850" t="s">
        <v>211</v>
      </c>
      <c r="K46" s="850"/>
      <c r="L46" s="850"/>
      <c r="M46" s="249">
        <f>実質公債費比率!L13</f>
        <v>35</v>
      </c>
      <c r="N46" s="223"/>
      <c r="O46" s="224"/>
    </row>
    <row r="47" spans="3:26" ht="17.25" customHeight="1">
      <c r="C47" s="164"/>
      <c r="D47" s="164"/>
      <c r="E47" s="164"/>
      <c r="F47" s="223"/>
      <c r="G47" s="154"/>
      <c r="I47" s="165"/>
      <c r="J47" s="164"/>
      <c r="K47" s="166"/>
      <c r="L47" s="223"/>
      <c r="M47" s="167"/>
      <c r="N47" s="223"/>
      <c r="O47" s="224"/>
    </row>
    <row r="48" spans="3:26" ht="17.25" customHeight="1">
      <c r="C48" s="164"/>
      <c r="D48" s="164"/>
      <c r="E48" s="164"/>
      <c r="F48" s="223"/>
      <c r="G48" s="154"/>
      <c r="I48" s="165"/>
      <c r="J48" s="164"/>
      <c r="K48" s="166"/>
      <c r="L48" s="223"/>
      <c r="M48" s="167"/>
      <c r="N48" s="223"/>
      <c r="O48" s="224"/>
    </row>
    <row r="49" spans="2:20" ht="17.25" customHeight="1"/>
    <row r="50" spans="2:20" ht="18.75" customHeight="1">
      <c r="B50" s="148" t="s">
        <v>241</v>
      </c>
      <c r="C50" s="149"/>
      <c r="D50" s="149"/>
      <c r="F50" s="150" t="s">
        <v>775</v>
      </c>
    </row>
    <row r="51" spans="2:20" ht="15" customHeight="1"/>
    <row r="52" spans="2:20" ht="15" customHeight="1">
      <c r="B52" s="225" t="s">
        <v>115</v>
      </c>
    </row>
    <row r="53" spans="2:20" ht="27.75" customHeight="1">
      <c r="C53" s="843" t="s">
        <v>193</v>
      </c>
      <c r="D53" s="843"/>
      <c r="E53" s="843"/>
      <c r="F53" s="843" t="s">
        <v>38</v>
      </c>
      <c r="G53" s="863" t="s">
        <v>419</v>
      </c>
      <c r="H53" s="863"/>
      <c r="I53" s="863"/>
      <c r="J53" s="863"/>
      <c r="K53" s="863"/>
      <c r="L53" s="863"/>
      <c r="M53" s="863"/>
      <c r="N53" s="863"/>
      <c r="O53" s="863"/>
    </row>
    <row r="54" spans="2:20" ht="15" customHeight="1">
      <c r="C54" s="843"/>
      <c r="D54" s="843"/>
      <c r="E54" s="843"/>
      <c r="F54" s="843"/>
      <c r="G54" s="861" t="s">
        <v>104</v>
      </c>
      <c r="H54" s="861"/>
      <c r="I54" s="861"/>
      <c r="J54" s="861"/>
      <c r="K54" s="861"/>
      <c r="L54" s="861"/>
      <c r="M54" s="861"/>
      <c r="N54" s="861"/>
      <c r="O54" s="862"/>
      <c r="T54" s="143" t="s">
        <v>846</v>
      </c>
    </row>
    <row r="55" spans="2:20" ht="8.25" customHeight="1" thickBot="1"/>
    <row r="56" spans="2:20" ht="15" customHeight="1">
      <c r="F56" s="848" t="s">
        <v>38</v>
      </c>
      <c r="G56" s="250">
        <f>将来負担比率!K15</f>
        <v>63100300</v>
      </c>
      <c r="H56" s="250" t="s">
        <v>36</v>
      </c>
      <c r="I56" s="244">
        <f>将来負担比率!F6</f>
        <v>14580520</v>
      </c>
      <c r="J56" s="242" t="s">
        <v>37</v>
      </c>
      <c r="K56" s="250">
        <f>将来負担比率!G6</f>
        <v>5793984.9849999994</v>
      </c>
      <c r="L56" s="242" t="s">
        <v>37</v>
      </c>
      <c r="M56" s="243">
        <f>将来負担比率!H6</f>
        <v>39083626</v>
      </c>
      <c r="N56" s="848" t="s">
        <v>38</v>
      </c>
      <c r="O56" s="886">
        <f>ROUNDDOWN((G56-I56-K56-M56)/(I57-K57)*100,1)</f>
        <v>13.3</v>
      </c>
    </row>
    <row r="57" spans="2:20" ht="15" customHeight="1" thickBot="1">
      <c r="F57" s="848"/>
      <c r="G57" s="154"/>
      <c r="H57" s="154"/>
      <c r="I57" s="490">
        <f>将来負担比率!I6</f>
        <v>31417985</v>
      </c>
      <c r="J57" s="223" t="s">
        <v>36</v>
      </c>
      <c r="K57" s="490">
        <f>将来負担比率!K6</f>
        <v>4156041</v>
      </c>
      <c r="L57" s="154"/>
      <c r="M57" s="154"/>
      <c r="N57" s="848"/>
      <c r="O57" s="887"/>
    </row>
    <row r="58" spans="2:20" ht="15" customHeight="1" thickBot="1">
      <c r="F58" s="223"/>
      <c r="G58" s="154"/>
      <c r="H58" s="154"/>
      <c r="I58" s="154"/>
      <c r="J58" s="223"/>
      <c r="K58" s="154"/>
      <c r="L58" s="154"/>
      <c r="M58" s="154"/>
      <c r="N58" s="223"/>
      <c r="O58" s="167"/>
    </row>
    <row r="59" spans="2:20" ht="18.75" customHeight="1" thickBot="1">
      <c r="F59" s="854" t="s">
        <v>210</v>
      </c>
      <c r="G59" s="855"/>
      <c r="H59" s="855"/>
      <c r="I59" s="251">
        <f>将来負担比率!L6</f>
        <v>350</v>
      </c>
      <c r="J59" s="223"/>
      <c r="K59" s="154"/>
      <c r="L59" s="154"/>
      <c r="M59" s="154"/>
      <c r="N59" s="223"/>
      <c r="O59" s="167"/>
    </row>
    <row r="60" spans="2:20" ht="15" customHeight="1"/>
    <row r="61" spans="2:20" ht="26.25" customHeight="1">
      <c r="B61" s="148" t="s">
        <v>242</v>
      </c>
      <c r="C61" s="149"/>
      <c r="D61" s="149"/>
      <c r="F61" s="150" t="s">
        <v>237</v>
      </c>
    </row>
    <row r="62" spans="2:20" ht="15" customHeight="1"/>
    <row r="63" spans="2:20" ht="15" customHeight="1">
      <c r="B63" s="225" t="s">
        <v>115</v>
      </c>
    </row>
    <row r="64" spans="2:20" ht="15" customHeight="1">
      <c r="C64" s="843" t="s">
        <v>208</v>
      </c>
      <c r="D64" s="843"/>
      <c r="E64" s="843"/>
      <c r="F64" s="843" t="s">
        <v>38</v>
      </c>
      <c r="G64" s="856" t="s">
        <v>157</v>
      </c>
      <c r="H64" s="856"/>
      <c r="I64" s="856"/>
    </row>
    <row r="65" spans="3:23" ht="15" customHeight="1">
      <c r="C65" s="843"/>
      <c r="D65" s="843"/>
      <c r="E65" s="843"/>
      <c r="F65" s="843"/>
      <c r="G65" s="857" t="s">
        <v>209</v>
      </c>
      <c r="H65" s="857"/>
      <c r="I65" s="857"/>
      <c r="J65" s="519"/>
    </row>
    <row r="66" spans="3:23" ht="15" customHeight="1" thickBot="1"/>
    <row r="67" spans="3:23" ht="15" customHeight="1">
      <c r="C67" s="221"/>
      <c r="D67" s="847" t="s">
        <v>424</v>
      </c>
      <c r="E67" s="847"/>
      <c r="F67" s="843" t="s">
        <v>38</v>
      </c>
      <c r="G67" s="500">
        <f>資金不足比率!I22</f>
        <v>-2057572</v>
      </c>
      <c r="H67" s="843" t="s">
        <v>38</v>
      </c>
      <c r="I67" s="168" t="s">
        <v>36</v>
      </c>
      <c r="J67" s="853" t="s">
        <v>150</v>
      </c>
      <c r="K67" s="853"/>
      <c r="L67" s="843" t="s">
        <v>38</v>
      </c>
      <c r="M67" s="500">
        <f>資金不足比率!I23</f>
        <v>-2339238</v>
      </c>
      <c r="N67" s="843" t="s">
        <v>38</v>
      </c>
      <c r="O67" s="168" t="s">
        <v>36</v>
      </c>
    </row>
    <row r="68" spans="3:23" ht="15" customHeight="1" thickBot="1">
      <c r="C68" s="221"/>
      <c r="D68" s="847"/>
      <c r="E68" s="847"/>
      <c r="F68" s="843"/>
      <c r="G68" s="501">
        <f>資金不足比率!L22</f>
        <v>5274358</v>
      </c>
      <c r="H68" s="843"/>
      <c r="I68" s="169">
        <f>S68*-1</f>
        <v>39.01</v>
      </c>
      <c r="J68" s="853"/>
      <c r="K68" s="853"/>
      <c r="L68" s="843"/>
      <c r="M68" s="501">
        <f>資金不足比率!L23</f>
        <v>2329650</v>
      </c>
      <c r="N68" s="843"/>
      <c r="O68" s="152">
        <f>W68*-1</f>
        <v>100.41</v>
      </c>
      <c r="Q68" s="143"/>
      <c r="S68" s="145">
        <f>ROUNDDOWN(G67/G68*100,2)</f>
        <v>-39.01</v>
      </c>
      <c r="T68" s="145"/>
      <c r="U68" s="145"/>
      <c r="V68" s="145"/>
      <c r="W68" s="145">
        <f>ROUNDDOWN(M67/M68*100,2)</f>
        <v>-100.41</v>
      </c>
    </row>
    <row r="69" spans="3:23" ht="6.75" customHeight="1" thickBot="1">
      <c r="G69" s="154"/>
      <c r="I69" s="164"/>
      <c r="M69" s="154"/>
      <c r="O69" s="164"/>
      <c r="Q69" s="143"/>
      <c r="S69" s="145"/>
      <c r="T69" s="145"/>
      <c r="U69" s="145"/>
      <c r="V69" s="145"/>
    </row>
    <row r="70" spans="3:23" ht="15" customHeight="1">
      <c r="C70" s="221"/>
      <c r="D70" s="847" t="s">
        <v>158</v>
      </c>
      <c r="E70" s="847"/>
      <c r="F70" s="843" t="s">
        <v>38</v>
      </c>
      <c r="G70" s="500">
        <f>資金不足比率!I24</f>
        <v>-799376</v>
      </c>
      <c r="H70" s="843" t="s">
        <v>38</v>
      </c>
      <c r="I70" s="168" t="s">
        <v>36</v>
      </c>
      <c r="J70" s="852" t="s">
        <v>738</v>
      </c>
      <c r="K70" s="847"/>
      <c r="L70" s="843" t="s">
        <v>38</v>
      </c>
      <c r="M70" s="500">
        <f>(資金不足比率!I26+資金不足比率!I27)*-1</f>
        <v>-29761</v>
      </c>
      <c r="N70" s="843" t="s">
        <v>38</v>
      </c>
      <c r="O70" s="168" t="s">
        <v>36</v>
      </c>
      <c r="Q70" s="143"/>
      <c r="S70" s="145"/>
      <c r="T70" s="145"/>
      <c r="U70" s="145"/>
      <c r="V70" s="145"/>
    </row>
    <row r="71" spans="3:23" ht="15" customHeight="1" thickBot="1">
      <c r="C71" s="221"/>
      <c r="D71" s="847"/>
      <c r="E71" s="847"/>
      <c r="F71" s="843"/>
      <c r="G71" s="501">
        <f>資金不足比率!L24</f>
        <v>889294</v>
      </c>
      <c r="H71" s="843"/>
      <c r="I71" s="762">
        <f>S71*-1</f>
        <v>89.88</v>
      </c>
      <c r="J71" s="847"/>
      <c r="K71" s="847"/>
      <c r="L71" s="843"/>
      <c r="M71" s="501">
        <f>資金不足比率!L26+資金不足比率!L27</f>
        <v>88375</v>
      </c>
      <c r="N71" s="843"/>
      <c r="O71" s="169">
        <f>W71*-1</f>
        <v>33.67</v>
      </c>
      <c r="Q71" s="143"/>
      <c r="S71" s="145">
        <f>ROUNDDOWN(G70/G71*100,2)</f>
        <v>-89.88</v>
      </c>
      <c r="T71" s="145"/>
      <c r="U71" s="145"/>
      <c r="V71" s="145"/>
      <c r="W71" s="145">
        <f>ROUNDDOWN(M70/M71*100,2)</f>
        <v>-33.67</v>
      </c>
    </row>
    <row r="72" spans="3:23" ht="6.75" customHeight="1" thickBot="1">
      <c r="G72" s="154"/>
      <c r="I72" s="164"/>
      <c r="M72" s="154"/>
      <c r="O72" s="164"/>
      <c r="Q72" s="143"/>
      <c r="S72" s="145"/>
      <c r="T72" s="145"/>
      <c r="U72" s="145"/>
      <c r="V72" s="145"/>
    </row>
    <row r="73" spans="3:23" ht="15" customHeight="1">
      <c r="C73" s="252"/>
      <c r="D73" s="852" t="s">
        <v>641</v>
      </c>
      <c r="E73" s="847"/>
      <c r="F73" s="843" t="s">
        <v>38</v>
      </c>
      <c r="G73" s="500">
        <f>資金不足比率!M31</f>
        <v>-340444</v>
      </c>
      <c r="H73" s="843" t="s">
        <v>38</v>
      </c>
      <c r="I73" s="168" t="s">
        <v>36</v>
      </c>
      <c r="J73" s="852"/>
      <c r="K73" s="847"/>
      <c r="L73" s="843"/>
      <c r="M73" s="496"/>
      <c r="N73" s="843"/>
      <c r="O73" s="497"/>
      <c r="Q73" s="143"/>
      <c r="S73" s="145"/>
      <c r="T73" s="145"/>
      <c r="U73" s="145"/>
      <c r="V73" s="145"/>
    </row>
    <row r="74" spans="3:23" ht="15" customHeight="1" thickBot="1">
      <c r="C74" s="253"/>
      <c r="D74" s="847"/>
      <c r="E74" s="847"/>
      <c r="F74" s="843"/>
      <c r="G74" s="501">
        <f>資金不足比率!G35</f>
        <v>137468</v>
      </c>
      <c r="H74" s="843"/>
      <c r="I74" s="169">
        <f>S74*-1</f>
        <v>247.65</v>
      </c>
      <c r="J74" s="847"/>
      <c r="K74" s="847"/>
      <c r="L74" s="843"/>
      <c r="M74" s="496"/>
      <c r="N74" s="843"/>
      <c r="O74" s="498"/>
      <c r="Q74" s="143"/>
      <c r="S74" s="145">
        <f>ROUNDDOWN(G73/G74*100,2)</f>
        <v>-247.65</v>
      </c>
      <c r="T74" s="145"/>
      <c r="U74" s="145"/>
      <c r="V74" s="145"/>
      <c r="W74" s="145" t="e">
        <f>ROUNDDOWN(M73/M74*100,2)</f>
        <v>#DIV/0!</v>
      </c>
    </row>
    <row r="75" spans="3:23" ht="6" customHeight="1">
      <c r="G75" s="154"/>
      <c r="I75" s="164"/>
      <c r="M75" s="154"/>
      <c r="O75" s="164"/>
    </row>
    <row r="76" spans="3:23" ht="15" customHeight="1" thickBot="1"/>
    <row r="77" spans="3:23" ht="18.75" customHeight="1" thickBot="1">
      <c r="F77" s="854" t="s">
        <v>212</v>
      </c>
      <c r="G77" s="855"/>
      <c r="H77" s="855"/>
      <c r="I77" s="254">
        <v>20</v>
      </c>
    </row>
    <row r="78" spans="3:23" ht="15" customHeight="1"/>
    <row r="79" spans="3:23" ht="15" customHeight="1"/>
    <row r="80" spans="3:23" ht="15" customHeight="1"/>
    <row r="81" spans="1:17" ht="15" customHeight="1">
      <c r="C81" s="879"/>
      <c r="D81" s="879"/>
      <c r="E81" s="880"/>
    </row>
    <row r="82" spans="1:17" ht="15" customHeight="1"/>
    <row r="83" spans="1:17" s="509" customFormat="1" ht="21" customHeight="1" thickBot="1">
      <c r="A83" s="143"/>
      <c r="B83" s="147" t="s">
        <v>102</v>
      </c>
      <c r="C83" s="143"/>
      <c r="D83" s="143"/>
      <c r="E83" s="143"/>
      <c r="F83" s="143"/>
      <c r="G83" s="143"/>
      <c r="H83" s="143"/>
      <c r="I83" s="143"/>
      <c r="J83" s="143"/>
      <c r="K83" s="143"/>
      <c r="L83" s="143"/>
      <c r="M83" s="143"/>
      <c r="N83" s="143"/>
      <c r="O83" s="143"/>
      <c r="P83" s="143"/>
      <c r="Q83" s="145"/>
    </row>
    <row r="84" spans="1:17" s="509" customFormat="1" ht="18.75" customHeight="1">
      <c r="A84" s="143"/>
      <c r="B84" s="867"/>
      <c r="C84" s="888"/>
      <c r="D84" s="883" t="s">
        <v>753</v>
      </c>
      <c r="E84" s="884"/>
      <c r="F84" s="883" t="s">
        <v>779</v>
      </c>
      <c r="G84" s="884"/>
      <c r="H84" s="883" t="s">
        <v>770</v>
      </c>
      <c r="I84" s="884"/>
      <c r="J84" s="883" t="s">
        <v>776</v>
      </c>
      <c r="K84" s="884"/>
      <c r="L84" s="805" t="s">
        <v>787</v>
      </c>
      <c r="M84" s="835"/>
      <c r="N84" s="805" t="s">
        <v>828</v>
      </c>
      <c r="O84" s="835"/>
      <c r="P84" s="805" t="s">
        <v>906</v>
      </c>
      <c r="Q84" s="825"/>
    </row>
    <row r="85" spans="1:17" s="509" customFormat="1" ht="18.75" customHeight="1">
      <c r="A85" s="143"/>
      <c r="B85" s="869"/>
      <c r="C85" s="889"/>
      <c r="D85" s="817"/>
      <c r="E85" s="885"/>
      <c r="F85" s="817"/>
      <c r="G85" s="885"/>
      <c r="H85" s="817"/>
      <c r="I85" s="885"/>
      <c r="J85" s="817"/>
      <c r="K85" s="885"/>
      <c r="L85" s="806"/>
      <c r="M85" s="836"/>
      <c r="N85" s="806"/>
      <c r="O85" s="836"/>
      <c r="P85" s="806"/>
      <c r="Q85" s="826"/>
    </row>
    <row r="86" spans="1:17" s="509" customFormat="1" ht="18.75" customHeight="1">
      <c r="A86" s="143"/>
      <c r="B86" s="871" t="s">
        <v>414</v>
      </c>
      <c r="C86" s="881"/>
      <c r="D86" s="807" t="s">
        <v>764</v>
      </c>
      <c r="E86" s="808"/>
      <c r="F86" s="807" t="s">
        <v>764</v>
      </c>
      <c r="G86" s="808"/>
      <c r="H86" s="807" t="s">
        <v>764</v>
      </c>
      <c r="I86" s="808"/>
      <c r="J86" s="807" t="s">
        <v>764</v>
      </c>
      <c r="K86" s="808"/>
      <c r="L86" s="807" t="s">
        <v>764</v>
      </c>
      <c r="M86" s="808"/>
      <c r="N86" s="807" t="s">
        <v>764</v>
      </c>
      <c r="O86" s="808"/>
      <c r="P86" s="801" t="s">
        <v>36</v>
      </c>
      <c r="Q86" s="827"/>
    </row>
    <row r="87" spans="1:17" s="509" customFormat="1" ht="18.75" customHeight="1">
      <c r="A87" s="143"/>
      <c r="B87" s="873"/>
      <c r="C87" s="890"/>
      <c r="D87" s="799" t="s">
        <v>798</v>
      </c>
      <c r="E87" s="800"/>
      <c r="F87" s="837" t="s">
        <v>799</v>
      </c>
      <c r="G87" s="838"/>
      <c r="H87" s="837" t="s">
        <v>800</v>
      </c>
      <c r="I87" s="838"/>
      <c r="J87" s="837" t="s">
        <v>801</v>
      </c>
      <c r="K87" s="838"/>
      <c r="L87" s="837" t="s">
        <v>817</v>
      </c>
      <c r="M87" s="838"/>
      <c r="N87" s="837" t="s">
        <v>829</v>
      </c>
      <c r="O87" s="838"/>
      <c r="P87" s="811">
        <f>+実質赤字比率!D4*-1</f>
        <v>6.44</v>
      </c>
      <c r="Q87" s="812"/>
    </row>
    <row r="88" spans="1:17" s="509" customFormat="1" ht="18.75" customHeight="1">
      <c r="A88" s="143"/>
      <c r="B88" s="891" t="s">
        <v>415</v>
      </c>
      <c r="C88" s="892"/>
      <c r="D88" s="807" t="s">
        <v>764</v>
      </c>
      <c r="E88" s="808"/>
      <c r="F88" s="807" t="s">
        <v>764</v>
      </c>
      <c r="G88" s="808"/>
      <c r="H88" s="807" t="s">
        <v>764</v>
      </c>
      <c r="I88" s="808"/>
      <c r="J88" s="807" t="s">
        <v>764</v>
      </c>
      <c r="K88" s="808"/>
      <c r="L88" s="807" t="s">
        <v>764</v>
      </c>
      <c r="M88" s="808"/>
      <c r="N88" s="807" t="s">
        <v>764</v>
      </c>
      <c r="O88" s="808"/>
      <c r="P88" s="801" t="s">
        <v>36</v>
      </c>
      <c r="Q88" s="827"/>
    </row>
    <row r="89" spans="1:17" s="509" customFormat="1" ht="18.75" customHeight="1">
      <c r="A89" s="143"/>
      <c r="B89" s="893"/>
      <c r="C89" s="894"/>
      <c r="D89" s="799" t="s">
        <v>802</v>
      </c>
      <c r="E89" s="800"/>
      <c r="F89" s="799" t="s">
        <v>803</v>
      </c>
      <c r="G89" s="800"/>
      <c r="H89" s="799" t="s">
        <v>804</v>
      </c>
      <c r="I89" s="800"/>
      <c r="J89" s="799">
        <v>37.51</v>
      </c>
      <c r="K89" s="800"/>
      <c r="L89" s="841">
        <v>36.51</v>
      </c>
      <c r="M89" s="842"/>
      <c r="N89" s="841">
        <v>30.58</v>
      </c>
      <c r="O89" s="842"/>
      <c r="P89" s="829">
        <f>+連結実質赤字比率!D4*-1</f>
        <v>26.2</v>
      </c>
      <c r="Q89" s="830"/>
    </row>
    <row r="90" spans="1:17" s="509" customFormat="1" ht="18.75" customHeight="1">
      <c r="A90" s="143"/>
      <c r="B90" s="871" t="s">
        <v>416</v>
      </c>
      <c r="C90" s="881"/>
      <c r="D90" s="813">
        <v>3.3000000000000002E-2</v>
      </c>
      <c r="E90" s="814"/>
      <c r="F90" s="813">
        <v>3.2000000000000001E-2</v>
      </c>
      <c r="G90" s="814"/>
      <c r="H90" s="813">
        <v>2.8000000000000001E-2</v>
      </c>
      <c r="I90" s="814"/>
      <c r="J90" s="813">
        <v>2.6000000000000002E-2</v>
      </c>
      <c r="K90" s="814"/>
      <c r="L90" s="813">
        <v>2.5000000000000001E-2</v>
      </c>
      <c r="M90" s="814"/>
      <c r="N90" s="813">
        <v>3.2000000000000001E-2</v>
      </c>
      <c r="O90" s="814"/>
      <c r="P90" s="831">
        <f>+実質公債費比率!K17/100</f>
        <v>4.0999999999999995E-2</v>
      </c>
      <c r="Q90" s="832"/>
    </row>
    <row r="91" spans="1:17" s="509" customFormat="1" ht="18.75" customHeight="1">
      <c r="A91" s="143"/>
      <c r="B91" s="873"/>
      <c r="C91" s="890"/>
      <c r="D91" s="815"/>
      <c r="E91" s="816"/>
      <c r="F91" s="815"/>
      <c r="G91" s="816"/>
      <c r="H91" s="815"/>
      <c r="I91" s="816"/>
      <c r="J91" s="815"/>
      <c r="K91" s="816"/>
      <c r="L91" s="815"/>
      <c r="M91" s="816"/>
      <c r="N91" s="815"/>
      <c r="O91" s="816"/>
      <c r="P91" s="833"/>
      <c r="Q91" s="834"/>
    </row>
    <row r="92" spans="1:17" s="509" customFormat="1" ht="18.75" customHeight="1">
      <c r="A92" s="143"/>
      <c r="B92" s="871" t="s">
        <v>417</v>
      </c>
      <c r="C92" s="881"/>
      <c r="D92" s="813">
        <v>3.0000000000000001E-3</v>
      </c>
      <c r="E92" s="814"/>
      <c r="F92" s="807" t="s">
        <v>36</v>
      </c>
      <c r="G92" s="808"/>
      <c r="H92" s="813">
        <v>3.6999999999999998E-2</v>
      </c>
      <c r="I92" s="814"/>
      <c r="J92" s="807" t="s">
        <v>36</v>
      </c>
      <c r="K92" s="808"/>
      <c r="L92" s="807" t="s">
        <v>36</v>
      </c>
      <c r="M92" s="808"/>
      <c r="N92" s="807" t="s">
        <v>36</v>
      </c>
      <c r="O92" s="808"/>
      <c r="P92" s="813">
        <f>+将来負担比率!D4/100</f>
        <v>0.13300000000000001</v>
      </c>
      <c r="Q92" s="821"/>
    </row>
    <row r="93" spans="1:17" s="509" customFormat="1" ht="18.75" customHeight="1" thickBot="1">
      <c r="A93" s="143"/>
      <c r="B93" s="876"/>
      <c r="C93" s="882"/>
      <c r="D93" s="822"/>
      <c r="E93" s="846"/>
      <c r="F93" s="819" t="s">
        <v>780</v>
      </c>
      <c r="G93" s="820"/>
      <c r="H93" s="822"/>
      <c r="I93" s="846"/>
      <c r="J93" s="819" t="s">
        <v>788</v>
      </c>
      <c r="K93" s="820"/>
      <c r="L93" s="819">
        <v>6.4</v>
      </c>
      <c r="M93" s="820"/>
      <c r="N93" s="819">
        <v>4.9000000000000004</v>
      </c>
      <c r="O93" s="820"/>
      <c r="P93" s="822"/>
      <c r="Q93" s="823"/>
    </row>
    <row r="94" spans="1:17" s="509" customFormat="1" ht="15" customHeight="1">
      <c r="A94" s="143"/>
      <c r="B94" s="143"/>
      <c r="C94" s="143"/>
      <c r="D94" s="143"/>
      <c r="E94" s="143"/>
      <c r="F94" s="143"/>
      <c r="G94" s="143"/>
      <c r="H94" s="828"/>
      <c r="I94" s="828"/>
      <c r="J94" s="828"/>
      <c r="K94" s="828"/>
      <c r="L94" s="828"/>
      <c r="M94" s="828"/>
      <c r="N94" s="143"/>
      <c r="O94" s="143"/>
      <c r="P94" s="143"/>
      <c r="Q94" s="145"/>
    </row>
    <row r="95" spans="1:17" s="509" customFormat="1" ht="15" customHeight="1">
      <c r="A95" s="143"/>
      <c r="B95" s="143"/>
      <c r="C95" s="143"/>
      <c r="D95" s="143"/>
      <c r="E95" s="143"/>
      <c r="F95" s="143"/>
      <c r="G95" s="143"/>
      <c r="H95" s="828"/>
      <c r="I95" s="828"/>
      <c r="J95" s="828"/>
      <c r="K95" s="828"/>
      <c r="L95" s="828"/>
      <c r="M95" s="828"/>
      <c r="N95" s="143"/>
      <c r="O95" s="143"/>
      <c r="P95" s="143"/>
      <c r="Q95" s="145"/>
    </row>
    <row r="96" spans="1:17" s="509" customFormat="1" ht="21" customHeight="1" thickBot="1">
      <c r="A96" s="143"/>
      <c r="B96" s="147" t="s">
        <v>103</v>
      </c>
      <c r="C96" s="143"/>
      <c r="D96" s="143"/>
      <c r="E96" s="143"/>
      <c r="F96" s="143"/>
      <c r="G96" s="143"/>
      <c r="H96" s="143"/>
      <c r="I96" s="143"/>
      <c r="J96" s="143"/>
      <c r="K96" s="143"/>
      <c r="L96" s="143"/>
      <c r="M96" s="143"/>
      <c r="N96" s="143"/>
      <c r="O96" s="143"/>
      <c r="P96" s="143"/>
      <c r="Q96" s="145"/>
    </row>
    <row r="97" spans="1:23" s="509" customFormat="1" ht="18.75" customHeight="1">
      <c r="A97" s="143"/>
      <c r="B97" s="867"/>
      <c r="C97" s="868"/>
      <c r="D97" s="805" t="str">
        <f>+D84</f>
        <v>平成30年度</v>
      </c>
      <c r="E97" s="805"/>
      <c r="F97" s="805" t="str">
        <f t="shared" ref="F97" si="0">+F84</f>
        <v>令和元年度</v>
      </c>
      <c r="G97" s="805"/>
      <c r="H97" s="805" t="str">
        <f t="shared" ref="H97" si="1">+H84</f>
        <v>令和２年度</v>
      </c>
      <c r="I97" s="805"/>
      <c r="J97" s="805" t="str">
        <f t="shared" ref="J97" si="2">+J84</f>
        <v>令和３年度</v>
      </c>
      <c r="K97" s="805"/>
      <c r="L97" s="844" t="str">
        <f t="shared" ref="L97" si="3">+L84</f>
        <v>令和４年度</v>
      </c>
      <c r="M97" s="835"/>
      <c r="N97" s="805" t="str">
        <f t="shared" ref="N97" si="4">+N84</f>
        <v>令和５年度</v>
      </c>
      <c r="O97" s="835"/>
      <c r="P97" s="805" t="str">
        <f t="shared" ref="P97" si="5">+P84</f>
        <v>令和６年度</v>
      </c>
      <c r="Q97" s="825"/>
    </row>
    <row r="98" spans="1:23" s="509" customFormat="1" ht="18.75" customHeight="1">
      <c r="A98" s="143"/>
      <c r="B98" s="869"/>
      <c r="C98" s="870"/>
      <c r="D98" s="806"/>
      <c r="E98" s="806"/>
      <c r="F98" s="806"/>
      <c r="G98" s="806"/>
      <c r="H98" s="806"/>
      <c r="I98" s="806"/>
      <c r="J98" s="806"/>
      <c r="K98" s="806"/>
      <c r="L98" s="845"/>
      <c r="M98" s="836"/>
      <c r="N98" s="806"/>
      <c r="O98" s="836"/>
      <c r="P98" s="806"/>
      <c r="Q98" s="826"/>
    </row>
    <row r="99" spans="1:23" s="509" customFormat="1" ht="18.75" customHeight="1">
      <c r="A99" s="143"/>
      <c r="B99" s="871" t="s">
        <v>92</v>
      </c>
      <c r="C99" s="872"/>
      <c r="D99" s="797" t="s">
        <v>764</v>
      </c>
      <c r="E99" s="878"/>
      <c r="F99" s="809" t="s">
        <v>764</v>
      </c>
      <c r="G99" s="798"/>
      <c r="H99" s="797" t="s">
        <v>36</v>
      </c>
      <c r="I99" s="798"/>
      <c r="J99" s="797" t="s">
        <v>36</v>
      </c>
      <c r="K99" s="798"/>
      <c r="L99" s="797" t="s">
        <v>36</v>
      </c>
      <c r="M99" s="798"/>
      <c r="N99" s="797" t="s">
        <v>36</v>
      </c>
      <c r="O99" s="798"/>
      <c r="P99" s="797" t="s">
        <v>36</v>
      </c>
      <c r="Q99" s="810"/>
    </row>
    <row r="100" spans="1:23" s="509" customFormat="1" ht="18.75" customHeight="1">
      <c r="A100" s="143"/>
      <c r="B100" s="873"/>
      <c r="C100" s="874"/>
      <c r="D100" s="799" t="s">
        <v>765</v>
      </c>
      <c r="E100" s="800"/>
      <c r="F100" s="799" t="s">
        <v>805</v>
      </c>
      <c r="G100" s="800"/>
      <c r="H100" s="799" t="s">
        <v>806</v>
      </c>
      <c r="I100" s="800"/>
      <c r="J100" s="799" t="s">
        <v>807</v>
      </c>
      <c r="K100" s="800"/>
      <c r="L100" s="799" t="s">
        <v>818</v>
      </c>
      <c r="M100" s="800"/>
      <c r="N100" s="799" t="s">
        <v>830</v>
      </c>
      <c r="O100" s="800"/>
      <c r="P100" s="811">
        <f>+資金不足比率!M22*-1</f>
        <v>39.01</v>
      </c>
      <c r="Q100" s="812"/>
      <c r="R100" s="510"/>
      <c r="S100" s="510"/>
      <c r="T100" s="510"/>
      <c r="U100" s="510"/>
      <c r="V100" s="510"/>
      <c r="W100" s="510"/>
    </row>
    <row r="101" spans="1:23" s="509" customFormat="1" ht="18.75" customHeight="1">
      <c r="A101" s="143"/>
      <c r="B101" s="871" t="s">
        <v>425</v>
      </c>
      <c r="C101" s="872"/>
      <c r="D101" s="801" t="s">
        <v>764</v>
      </c>
      <c r="E101" s="802"/>
      <c r="F101" s="808" t="s">
        <v>764</v>
      </c>
      <c r="G101" s="818"/>
      <c r="H101" s="801" t="s">
        <v>36</v>
      </c>
      <c r="I101" s="818"/>
      <c r="J101" s="801" t="s">
        <v>36</v>
      </c>
      <c r="K101" s="818"/>
      <c r="L101" s="801" t="s">
        <v>36</v>
      </c>
      <c r="M101" s="818"/>
      <c r="N101" s="801" t="s">
        <v>36</v>
      </c>
      <c r="O101" s="818"/>
      <c r="P101" s="801" t="s">
        <v>36</v>
      </c>
      <c r="Q101" s="824"/>
      <c r="R101" s="510"/>
      <c r="S101" s="510"/>
      <c r="T101" s="510"/>
      <c r="U101" s="510"/>
      <c r="V101" s="510"/>
      <c r="W101" s="510"/>
    </row>
    <row r="102" spans="1:23" s="509" customFormat="1" ht="18.75" customHeight="1">
      <c r="A102" s="143"/>
      <c r="B102" s="873"/>
      <c r="C102" s="874"/>
      <c r="D102" s="803" t="s">
        <v>766</v>
      </c>
      <c r="E102" s="804"/>
      <c r="F102" s="800" t="s">
        <v>808</v>
      </c>
      <c r="G102" s="817"/>
      <c r="H102" s="803" t="s">
        <v>809</v>
      </c>
      <c r="I102" s="817"/>
      <c r="J102" s="803" t="s">
        <v>810</v>
      </c>
      <c r="K102" s="817"/>
      <c r="L102" s="803" t="s">
        <v>819</v>
      </c>
      <c r="M102" s="817"/>
      <c r="N102" s="803" t="s">
        <v>831</v>
      </c>
      <c r="O102" s="817"/>
      <c r="P102" s="811">
        <f>+資金不足比率!M23*-1</f>
        <v>100.41</v>
      </c>
      <c r="Q102" s="812"/>
      <c r="R102" s="510"/>
      <c r="S102" s="510"/>
      <c r="T102" s="510"/>
      <c r="U102" s="510"/>
      <c r="V102" s="510"/>
      <c r="W102" s="510"/>
    </row>
    <row r="103" spans="1:23" s="509" customFormat="1" ht="18.75" customHeight="1">
      <c r="A103" s="143"/>
      <c r="B103" s="871" t="s">
        <v>426</v>
      </c>
      <c r="C103" s="872"/>
      <c r="D103" s="797" t="s">
        <v>764</v>
      </c>
      <c r="E103" s="878"/>
      <c r="F103" s="809" t="s">
        <v>764</v>
      </c>
      <c r="G103" s="798"/>
      <c r="H103" s="797" t="s">
        <v>36</v>
      </c>
      <c r="I103" s="798"/>
      <c r="J103" s="797" t="s">
        <v>36</v>
      </c>
      <c r="K103" s="798"/>
      <c r="L103" s="797" t="s">
        <v>36</v>
      </c>
      <c r="M103" s="798"/>
      <c r="N103" s="797" t="s">
        <v>36</v>
      </c>
      <c r="O103" s="798"/>
      <c r="P103" s="797" t="s">
        <v>36</v>
      </c>
      <c r="Q103" s="810"/>
      <c r="R103" s="510"/>
      <c r="S103" s="510"/>
      <c r="T103" s="510"/>
      <c r="U103" s="510"/>
      <c r="V103" s="510"/>
      <c r="W103" s="510"/>
    </row>
    <row r="104" spans="1:23" s="509" customFormat="1" ht="18.75" customHeight="1">
      <c r="A104" s="143"/>
      <c r="B104" s="873"/>
      <c r="C104" s="874"/>
      <c r="D104" s="803" t="s">
        <v>767</v>
      </c>
      <c r="E104" s="804"/>
      <c r="F104" s="800" t="s">
        <v>811</v>
      </c>
      <c r="G104" s="817"/>
      <c r="H104" s="803" t="s">
        <v>812</v>
      </c>
      <c r="I104" s="817"/>
      <c r="J104" s="803" t="s">
        <v>813</v>
      </c>
      <c r="K104" s="817"/>
      <c r="L104" s="839" t="s">
        <v>826</v>
      </c>
      <c r="M104" s="840"/>
      <c r="N104" s="839" t="s">
        <v>832</v>
      </c>
      <c r="O104" s="840"/>
      <c r="P104" s="811">
        <f>+資金不足比率!M24*-1</f>
        <v>89.88</v>
      </c>
      <c r="Q104" s="812"/>
    </row>
    <row r="105" spans="1:23" s="509" customFormat="1" ht="18.75" customHeight="1">
      <c r="A105" s="143"/>
      <c r="B105" s="875" t="s">
        <v>742</v>
      </c>
      <c r="C105" s="872"/>
      <c r="D105" s="801" t="s">
        <v>764</v>
      </c>
      <c r="E105" s="802"/>
      <c r="F105" s="807" t="s">
        <v>764</v>
      </c>
      <c r="G105" s="808"/>
      <c r="H105" s="807" t="s">
        <v>764</v>
      </c>
      <c r="I105" s="808"/>
      <c r="J105" s="801" t="s">
        <v>764</v>
      </c>
      <c r="K105" s="802"/>
      <c r="L105" s="801" t="s">
        <v>764</v>
      </c>
      <c r="M105" s="802"/>
      <c r="N105" s="801" t="s">
        <v>764</v>
      </c>
      <c r="O105" s="802"/>
      <c r="P105" s="808" t="s">
        <v>36</v>
      </c>
      <c r="Q105" s="824"/>
    </row>
    <row r="106" spans="1:23" s="509" customFormat="1" ht="18.75" customHeight="1">
      <c r="A106" s="143"/>
      <c r="B106" s="873"/>
      <c r="C106" s="874"/>
      <c r="D106" s="803" t="s">
        <v>768</v>
      </c>
      <c r="E106" s="804"/>
      <c r="F106" s="799" t="s">
        <v>772</v>
      </c>
      <c r="G106" s="800"/>
      <c r="H106" s="799" t="s">
        <v>781</v>
      </c>
      <c r="I106" s="800"/>
      <c r="J106" s="803" t="s">
        <v>789</v>
      </c>
      <c r="K106" s="804"/>
      <c r="L106" s="803" t="s">
        <v>820</v>
      </c>
      <c r="M106" s="804"/>
      <c r="N106" s="803" t="s">
        <v>833</v>
      </c>
      <c r="O106" s="804"/>
      <c r="P106" s="811">
        <f>+資金不足比率!M25*-1</f>
        <v>33.67</v>
      </c>
      <c r="Q106" s="812"/>
    </row>
    <row r="107" spans="1:23" s="509" customFormat="1" ht="18.75" customHeight="1">
      <c r="A107" s="143"/>
      <c r="B107" s="875" t="s">
        <v>427</v>
      </c>
      <c r="C107" s="872"/>
      <c r="D107" s="801" t="s">
        <v>764</v>
      </c>
      <c r="E107" s="802"/>
      <c r="F107" s="808" t="s">
        <v>764</v>
      </c>
      <c r="G107" s="818"/>
      <c r="H107" s="801" t="s">
        <v>764</v>
      </c>
      <c r="I107" s="818"/>
      <c r="J107" s="801" t="s">
        <v>764</v>
      </c>
      <c r="K107" s="818"/>
      <c r="L107" s="801" t="s">
        <v>764</v>
      </c>
      <c r="M107" s="818"/>
      <c r="N107" s="801" t="s">
        <v>764</v>
      </c>
      <c r="O107" s="818"/>
      <c r="P107" s="801" t="s">
        <v>36</v>
      </c>
      <c r="Q107" s="824"/>
    </row>
    <row r="108" spans="1:23" s="509" customFormat="1" ht="18.75" customHeight="1" thickBot="1">
      <c r="A108" s="143"/>
      <c r="B108" s="876"/>
      <c r="C108" s="877"/>
      <c r="D108" s="1185" t="s">
        <v>769</v>
      </c>
      <c r="E108" s="1186"/>
      <c r="F108" s="1185" t="s">
        <v>814</v>
      </c>
      <c r="G108" s="1186"/>
      <c r="H108" s="1185" t="s">
        <v>815</v>
      </c>
      <c r="I108" s="1186"/>
      <c r="J108" s="1185" t="s">
        <v>816</v>
      </c>
      <c r="K108" s="1186"/>
      <c r="L108" s="1185" t="s">
        <v>821</v>
      </c>
      <c r="M108" s="1186"/>
      <c r="N108" s="1185" t="s">
        <v>834</v>
      </c>
      <c r="O108" s="1186"/>
      <c r="P108" s="1187">
        <f>+資金不足比率!H35*-1</f>
        <v>247.65</v>
      </c>
      <c r="Q108" s="1188"/>
    </row>
    <row r="109" spans="1:23" ht="15" customHeight="1"/>
    <row r="110" spans="1:23" ht="15" customHeight="1"/>
    <row r="196" spans="5:5">
      <c r="E196" s="514"/>
    </row>
  </sheetData>
  <mergeCells count="216">
    <mergeCell ref="O56:O57"/>
    <mergeCell ref="D70:E71"/>
    <mergeCell ref="D73:E74"/>
    <mergeCell ref="F77:H77"/>
    <mergeCell ref="F86:G86"/>
    <mergeCell ref="L84:M85"/>
    <mergeCell ref="F84:G85"/>
    <mergeCell ref="H84:I85"/>
    <mergeCell ref="F73:F74"/>
    <mergeCell ref="H73:H74"/>
    <mergeCell ref="J73:K74"/>
    <mergeCell ref="L73:L74"/>
    <mergeCell ref="N73:N74"/>
    <mergeCell ref="J90:K91"/>
    <mergeCell ref="H88:I88"/>
    <mergeCell ref="N86:O86"/>
    <mergeCell ref="J84:K85"/>
    <mergeCell ref="B84:C85"/>
    <mergeCell ref="B86:C87"/>
    <mergeCell ref="B88:C89"/>
    <mergeCell ref="B90:C91"/>
    <mergeCell ref="D101:E101"/>
    <mergeCell ref="D102:E102"/>
    <mergeCell ref="C81:E81"/>
    <mergeCell ref="B92:C93"/>
    <mergeCell ref="D84:E85"/>
    <mergeCell ref="D86:E86"/>
    <mergeCell ref="D87:E87"/>
    <mergeCell ref="D89:E89"/>
    <mergeCell ref="D90:E91"/>
    <mergeCell ref="D88:E88"/>
    <mergeCell ref="D92:E93"/>
    <mergeCell ref="B97:C98"/>
    <mergeCell ref="B99:C100"/>
    <mergeCell ref="B101:C102"/>
    <mergeCell ref="B103:C104"/>
    <mergeCell ref="B107:C108"/>
    <mergeCell ref="D104:E104"/>
    <mergeCell ref="D107:E107"/>
    <mergeCell ref="D108:E108"/>
    <mergeCell ref="D97:E98"/>
    <mergeCell ref="D99:E99"/>
    <mergeCell ref="D100:E100"/>
    <mergeCell ref="B105:C106"/>
    <mergeCell ref="D105:E105"/>
    <mergeCell ref="D106:E106"/>
    <mergeCell ref="D103:E103"/>
    <mergeCell ref="C10:E11"/>
    <mergeCell ref="F10:F11"/>
    <mergeCell ref="F20:F21"/>
    <mergeCell ref="G11:I11"/>
    <mergeCell ref="G20:I20"/>
    <mergeCell ref="G21:I21"/>
    <mergeCell ref="O37:O38"/>
    <mergeCell ref="C20:E21"/>
    <mergeCell ref="C31:E32"/>
    <mergeCell ref="J20:J21"/>
    <mergeCell ref="C34:E35"/>
    <mergeCell ref="C37:E38"/>
    <mergeCell ref="J10:J11"/>
    <mergeCell ref="G31:O31"/>
    <mergeCell ref="G32:O32"/>
    <mergeCell ref="G10:I10"/>
    <mergeCell ref="F13:H13"/>
    <mergeCell ref="J13:L13"/>
    <mergeCell ref="L10:L11"/>
    <mergeCell ref="F37:F38"/>
    <mergeCell ref="L20:L21"/>
    <mergeCell ref="N37:N38"/>
    <mergeCell ref="F23:H23"/>
    <mergeCell ref="J23:L23"/>
    <mergeCell ref="F31:F32"/>
    <mergeCell ref="J46:L46"/>
    <mergeCell ref="O40:O41"/>
    <mergeCell ref="F70:F71"/>
    <mergeCell ref="H70:H71"/>
    <mergeCell ref="L67:L68"/>
    <mergeCell ref="J70:K71"/>
    <mergeCell ref="J67:K68"/>
    <mergeCell ref="F67:F68"/>
    <mergeCell ref="H67:H68"/>
    <mergeCell ref="N70:N71"/>
    <mergeCell ref="F59:H59"/>
    <mergeCell ref="F64:F65"/>
    <mergeCell ref="G64:I64"/>
    <mergeCell ref="G65:I65"/>
    <mergeCell ref="O43:O44"/>
    <mergeCell ref="L43:L44"/>
    <mergeCell ref="M43:M44"/>
    <mergeCell ref="G54:O54"/>
    <mergeCell ref="F46:H46"/>
    <mergeCell ref="F43:F44"/>
    <mergeCell ref="N56:N57"/>
    <mergeCell ref="F56:F57"/>
    <mergeCell ref="G53:O53"/>
    <mergeCell ref="C64:E65"/>
    <mergeCell ref="D67:E68"/>
    <mergeCell ref="C53:E54"/>
    <mergeCell ref="F53:F54"/>
    <mergeCell ref="N40:N41"/>
    <mergeCell ref="N43:N44"/>
    <mergeCell ref="C40:E41"/>
    <mergeCell ref="F40:F41"/>
    <mergeCell ref="C43:E44"/>
    <mergeCell ref="N67:N68"/>
    <mergeCell ref="H86:I86"/>
    <mergeCell ref="J86:K86"/>
    <mergeCell ref="J87:K87"/>
    <mergeCell ref="J88:K88"/>
    <mergeCell ref="J89:K89"/>
    <mergeCell ref="L87:M87"/>
    <mergeCell ref="L88:M88"/>
    <mergeCell ref="L90:M91"/>
    <mergeCell ref="J94:K94"/>
    <mergeCell ref="L89:M89"/>
    <mergeCell ref="H90:I91"/>
    <mergeCell ref="L86:M86"/>
    <mergeCell ref="J92:K92"/>
    <mergeCell ref="J93:K93"/>
    <mergeCell ref="H94:I94"/>
    <mergeCell ref="H87:I87"/>
    <mergeCell ref="F88:G88"/>
    <mergeCell ref="F89:G89"/>
    <mergeCell ref="F90:G91"/>
    <mergeCell ref="H89:I89"/>
    <mergeCell ref="H95:I95"/>
    <mergeCell ref="H100:I100"/>
    <mergeCell ref="F99:G99"/>
    <mergeCell ref="F92:G92"/>
    <mergeCell ref="F93:G93"/>
    <mergeCell ref="H92:I93"/>
    <mergeCell ref="L70:L71"/>
    <mergeCell ref="N84:O85"/>
    <mergeCell ref="J104:K104"/>
    <mergeCell ref="H107:I107"/>
    <mergeCell ref="H108:I108"/>
    <mergeCell ref="J107:K107"/>
    <mergeCell ref="J108:K108"/>
    <mergeCell ref="F107:G107"/>
    <mergeCell ref="F108:G108"/>
    <mergeCell ref="H104:I104"/>
    <mergeCell ref="F104:G104"/>
    <mergeCell ref="F102:G102"/>
    <mergeCell ref="L95:M95"/>
    <mergeCell ref="J102:K102"/>
    <mergeCell ref="J99:K99"/>
    <mergeCell ref="J101:K101"/>
    <mergeCell ref="J95:K95"/>
    <mergeCell ref="J100:K100"/>
    <mergeCell ref="L97:M98"/>
    <mergeCell ref="L99:M99"/>
    <mergeCell ref="L100:M100"/>
    <mergeCell ref="N101:O101"/>
    <mergeCell ref="F87:G87"/>
    <mergeCell ref="F101:G101"/>
    <mergeCell ref="P84:Q85"/>
    <mergeCell ref="P86:Q86"/>
    <mergeCell ref="L94:M94"/>
    <mergeCell ref="N88:O88"/>
    <mergeCell ref="P87:Q87"/>
    <mergeCell ref="P88:Q88"/>
    <mergeCell ref="P89:Q89"/>
    <mergeCell ref="P90:Q91"/>
    <mergeCell ref="P104:Q104"/>
    <mergeCell ref="P97:Q98"/>
    <mergeCell ref="P99:Q99"/>
    <mergeCell ref="P100:Q100"/>
    <mergeCell ref="N102:O102"/>
    <mergeCell ref="N99:O99"/>
    <mergeCell ref="N100:O100"/>
    <mergeCell ref="N97:O98"/>
    <mergeCell ref="P103:Q103"/>
    <mergeCell ref="P101:Q101"/>
    <mergeCell ref="P102:Q102"/>
    <mergeCell ref="N87:O87"/>
    <mergeCell ref="N104:O104"/>
    <mergeCell ref="L103:M103"/>
    <mergeCell ref="L104:M104"/>
    <mergeCell ref="N89:O89"/>
    <mergeCell ref="P106:Q106"/>
    <mergeCell ref="N92:O92"/>
    <mergeCell ref="N93:O93"/>
    <mergeCell ref="L92:M92"/>
    <mergeCell ref="L93:M93"/>
    <mergeCell ref="P92:Q93"/>
    <mergeCell ref="P105:Q105"/>
    <mergeCell ref="N90:O91"/>
    <mergeCell ref="N103:O103"/>
    <mergeCell ref="J105:K105"/>
    <mergeCell ref="J106:K106"/>
    <mergeCell ref="H99:I99"/>
    <mergeCell ref="H102:I102"/>
    <mergeCell ref="H101:I101"/>
    <mergeCell ref="J103:K103"/>
    <mergeCell ref="L105:M105"/>
    <mergeCell ref="L106:M106"/>
    <mergeCell ref="L101:M101"/>
    <mergeCell ref="L102:M102"/>
    <mergeCell ref="N107:O107"/>
    <mergeCell ref="N108:O108"/>
    <mergeCell ref="L107:M107"/>
    <mergeCell ref="L108:M108"/>
    <mergeCell ref="N105:O105"/>
    <mergeCell ref="N106:O106"/>
    <mergeCell ref="J97:K98"/>
    <mergeCell ref="F105:G105"/>
    <mergeCell ref="F106:G106"/>
    <mergeCell ref="H105:I105"/>
    <mergeCell ref="H106:I106"/>
    <mergeCell ref="H103:I103"/>
    <mergeCell ref="F103:G103"/>
    <mergeCell ref="F97:G98"/>
    <mergeCell ref="F100:G100"/>
    <mergeCell ref="H97:I98"/>
    <mergeCell ref="P107:Q107"/>
    <mergeCell ref="P108:Q108"/>
  </mergeCells>
  <phoneticPr fontId="2"/>
  <pageMargins left="0.43307086614173229" right="0.27559055118110237" top="0.98425196850393704" bottom="0.59055118110236227" header="0.70866141732283472" footer="0.11811023622047245"/>
  <pageSetup paperSize="9" scale="82" orientation="portrait" r:id="rId1"/>
  <headerFooter alignWithMargins="0"/>
  <rowBreaks count="1" manualBreakCount="1">
    <brk id="60" max="1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23"/>
  <sheetViews>
    <sheetView workbookViewId="0">
      <selection activeCell="H34" sqref="H34"/>
    </sheetView>
  </sheetViews>
  <sheetFormatPr defaultRowHeight="13.5"/>
  <cols>
    <col min="1" max="1" width="7.75" bestFit="1" customWidth="1"/>
    <col min="2" max="2" width="4" customWidth="1"/>
    <col min="3" max="3" width="17.25" bestFit="1" customWidth="1"/>
    <col min="4" max="6" width="2.5" customWidth="1"/>
    <col min="9" max="10" width="4.375" customWidth="1"/>
    <col min="11" max="12" width="11.5" style="28" customWidth="1"/>
  </cols>
  <sheetData>
    <row r="1" spans="1:13">
      <c r="A1" t="s">
        <v>569</v>
      </c>
      <c r="G1" t="s">
        <v>570</v>
      </c>
      <c r="K1" s="28" t="s">
        <v>571</v>
      </c>
      <c r="L1" s="28" t="s">
        <v>571</v>
      </c>
      <c r="M1" s="41" t="s">
        <v>572</v>
      </c>
    </row>
    <row r="2" spans="1:13">
      <c r="A2" t="s">
        <v>573</v>
      </c>
      <c r="C2" t="s">
        <v>574</v>
      </c>
      <c r="G2" t="s">
        <v>575</v>
      </c>
      <c r="K2" s="28">
        <v>0</v>
      </c>
      <c r="L2" s="28">
        <v>0</v>
      </c>
      <c r="M2" s="34">
        <f>K2-L2</f>
        <v>0</v>
      </c>
    </row>
    <row r="3" spans="1:13">
      <c r="A3" t="s">
        <v>576</v>
      </c>
      <c r="C3" t="s">
        <v>577</v>
      </c>
      <c r="G3" t="s">
        <v>578</v>
      </c>
      <c r="K3" s="28">
        <v>700555</v>
      </c>
      <c r="L3" s="28">
        <v>845712</v>
      </c>
      <c r="M3" s="34">
        <f t="shared" ref="M3:M23" si="0">K3-L3</f>
        <v>-145157</v>
      </c>
    </row>
    <row r="4" spans="1:13">
      <c r="A4" t="s">
        <v>579</v>
      </c>
      <c r="B4">
        <v>1</v>
      </c>
      <c r="C4" t="s">
        <v>580</v>
      </c>
      <c r="G4" t="s">
        <v>581</v>
      </c>
      <c r="K4" s="28">
        <v>0</v>
      </c>
      <c r="L4" s="28">
        <v>0</v>
      </c>
      <c r="M4" s="34">
        <f t="shared" si="0"/>
        <v>0</v>
      </c>
    </row>
    <row r="5" spans="1:13">
      <c r="B5">
        <v>2</v>
      </c>
      <c r="C5" t="s">
        <v>582</v>
      </c>
      <c r="G5" t="s">
        <v>581</v>
      </c>
      <c r="K5" s="28">
        <v>0</v>
      </c>
      <c r="L5" s="28">
        <v>0</v>
      </c>
      <c r="M5" s="34">
        <f t="shared" si="0"/>
        <v>0</v>
      </c>
    </row>
    <row r="6" spans="1:13">
      <c r="A6" t="s">
        <v>583</v>
      </c>
      <c r="C6" t="s">
        <v>584</v>
      </c>
      <c r="G6" t="s">
        <v>585</v>
      </c>
      <c r="K6" s="28">
        <v>0</v>
      </c>
      <c r="L6" s="28">
        <v>0</v>
      </c>
      <c r="M6" s="34">
        <f t="shared" si="0"/>
        <v>0</v>
      </c>
    </row>
    <row r="7" spans="1:13">
      <c r="A7" t="s">
        <v>586</v>
      </c>
      <c r="C7" t="s">
        <v>587</v>
      </c>
      <c r="G7" t="s">
        <v>575</v>
      </c>
      <c r="K7" s="28">
        <v>24528</v>
      </c>
      <c r="L7" s="28">
        <v>28570</v>
      </c>
      <c r="M7" s="34">
        <f t="shared" si="0"/>
        <v>-4042</v>
      </c>
    </row>
    <row r="8" spans="1:13">
      <c r="A8" t="s">
        <v>588</v>
      </c>
      <c r="C8" t="s">
        <v>589</v>
      </c>
      <c r="G8" t="s">
        <v>575</v>
      </c>
      <c r="K8" s="28">
        <v>4088569</v>
      </c>
      <c r="L8" s="28">
        <v>4096770</v>
      </c>
      <c r="M8" s="34">
        <f t="shared" si="0"/>
        <v>-8201</v>
      </c>
    </row>
    <row r="9" spans="1:13">
      <c r="A9" t="s">
        <v>590</v>
      </c>
      <c r="C9" t="s">
        <v>591</v>
      </c>
      <c r="G9" t="s">
        <v>575</v>
      </c>
      <c r="K9" s="28">
        <v>93763</v>
      </c>
      <c r="L9" s="28">
        <v>118951</v>
      </c>
      <c r="M9" s="34">
        <f t="shared" si="0"/>
        <v>-25188</v>
      </c>
    </row>
    <row r="10" spans="1:13">
      <c r="A10" t="s">
        <v>592</v>
      </c>
      <c r="C10" t="s">
        <v>593</v>
      </c>
      <c r="G10" t="s">
        <v>594</v>
      </c>
      <c r="K10" s="28">
        <v>388330</v>
      </c>
      <c r="L10" s="28">
        <v>421068</v>
      </c>
      <c r="M10" s="34">
        <f t="shared" si="0"/>
        <v>-32738</v>
      </c>
    </row>
    <row r="11" spans="1:13">
      <c r="A11" t="s">
        <v>595</v>
      </c>
      <c r="C11" t="s">
        <v>596</v>
      </c>
      <c r="G11" t="s">
        <v>594</v>
      </c>
      <c r="K11" s="28">
        <v>106703</v>
      </c>
      <c r="L11" s="28">
        <v>135634</v>
      </c>
      <c r="M11" s="34">
        <f t="shared" si="0"/>
        <v>-28931</v>
      </c>
    </row>
    <row r="12" spans="1:13">
      <c r="A12" t="s">
        <v>597</v>
      </c>
      <c r="C12" t="s">
        <v>598</v>
      </c>
      <c r="G12" t="s">
        <v>599</v>
      </c>
      <c r="K12" s="28">
        <v>0</v>
      </c>
      <c r="L12" s="28">
        <v>0</v>
      </c>
      <c r="M12" s="34">
        <f t="shared" si="0"/>
        <v>0</v>
      </c>
    </row>
    <row r="13" spans="1:13">
      <c r="A13" t="s">
        <v>600</v>
      </c>
      <c r="C13" t="s">
        <v>601</v>
      </c>
      <c r="G13" t="s">
        <v>575</v>
      </c>
      <c r="K13" s="28">
        <v>0</v>
      </c>
      <c r="L13" s="28">
        <v>0</v>
      </c>
      <c r="M13" s="34">
        <f t="shared" si="0"/>
        <v>0</v>
      </c>
    </row>
    <row r="14" spans="1:13">
      <c r="A14" t="s">
        <v>602</v>
      </c>
      <c r="C14" t="s">
        <v>603</v>
      </c>
      <c r="G14" t="s">
        <v>575</v>
      </c>
      <c r="K14" s="28">
        <v>0</v>
      </c>
      <c r="L14" s="28">
        <v>0</v>
      </c>
      <c r="M14" s="34">
        <f t="shared" si="0"/>
        <v>0</v>
      </c>
    </row>
    <row r="15" spans="1:13">
      <c r="A15" t="s">
        <v>604</v>
      </c>
      <c r="C15" t="s">
        <v>605</v>
      </c>
      <c r="G15" t="s">
        <v>575</v>
      </c>
      <c r="K15" s="28">
        <v>2051995</v>
      </c>
      <c r="L15" s="28">
        <v>1271828</v>
      </c>
      <c r="M15" s="34">
        <f t="shared" si="0"/>
        <v>780167</v>
      </c>
    </row>
    <row r="16" spans="1:13">
      <c r="A16" t="s">
        <v>606</v>
      </c>
      <c r="C16" t="s">
        <v>607</v>
      </c>
      <c r="G16" t="s">
        <v>608</v>
      </c>
      <c r="K16" s="28">
        <v>0</v>
      </c>
      <c r="L16" s="28">
        <v>0</v>
      </c>
      <c r="M16" s="34">
        <f t="shared" si="0"/>
        <v>0</v>
      </c>
    </row>
    <row r="17" spans="1:13">
      <c r="A17" t="s">
        <v>609</v>
      </c>
      <c r="C17" t="s">
        <v>610</v>
      </c>
      <c r="G17" t="s">
        <v>575</v>
      </c>
      <c r="K17" s="28">
        <v>155520</v>
      </c>
      <c r="L17" s="28">
        <v>186270</v>
      </c>
      <c r="M17" s="34">
        <f t="shared" si="0"/>
        <v>-30750</v>
      </c>
    </row>
    <row r="18" spans="1:13">
      <c r="A18" t="s">
        <v>611</v>
      </c>
      <c r="C18" t="s">
        <v>612</v>
      </c>
      <c r="G18" t="s">
        <v>613</v>
      </c>
      <c r="K18" s="28">
        <v>166</v>
      </c>
      <c r="L18" s="28">
        <v>261</v>
      </c>
      <c r="M18" s="34">
        <f t="shared" si="0"/>
        <v>-95</v>
      </c>
    </row>
    <row r="19" spans="1:13">
      <c r="A19" t="s">
        <v>614</v>
      </c>
      <c r="C19" t="s">
        <v>615</v>
      </c>
      <c r="G19" t="s">
        <v>616</v>
      </c>
      <c r="K19" s="28">
        <v>0</v>
      </c>
      <c r="L19" s="28">
        <v>0</v>
      </c>
      <c r="M19" s="34">
        <f t="shared" si="0"/>
        <v>0</v>
      </c>
    </row>
    <row r="20" spans="1:13">
      <c r="A20" t="s">
        <v>617</v>
      </c>
      <c r="B20">
        <v>1</v>
      </c>
      <c r="C20" t="s">
        <v>618</v>
      </c>
      <c r="G20" t="s">
        <v>575</v>
      </c>
      <c r="K20" s="28">
        <v>298837</v>
      </c>
      <c r="L20" s="28">
        <v>383754</v>
      </c>
      <c r="M20" s="34">
        <f t="shared" si="0"/>
        <v>-84917</v>
      </c>
    </row>
    <row r="21" spans="1:13">
      <c r="B21">
        <v>2</v>
      </c>
      <c r="C21" t="s">
        <v>618</v>
      </c>
      <c r="G21" t="s">
        <v>619</v>
      </c>
      <c r="K21" s="28">
        <v>0</v>
      </c>
      <c r="L21" s="28">
        <v>0</v>
      </c>
      <c r="M21" s="34">
        <f t="shared" si="0"/>
        <v>0</v>
      </c>
    </row>
    <row r="22" spans="1:13">
      <c r="A22" t="s">
        <v>620</v>
      </c>
      <c r="C22" t="s">
        <v>621</v>
      </c>
      <c r="K22" s="28">
        <v>33861040</v>
      </c>
      <c r="L22" s="28">
        <v>32790682</v>
      </c>
      <c r="M22" s="34">
        <f t="shared" si="0"/>
        <v>1070358</v>
      </c>
    </row>
    <row r="23" spans="1:13">
      <c r="G23" t="s">
        <v>622</v>
      </c>
      <c r="K23" s="28">
        <v>41770006</v>
      </c>
      <c r="L23" s="28">
        <v>40279500</v>
      </c>
      <c r="M23" s="34">
        <f t="shared" si="0"/>
        <v>1490506</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87"/>
  <sheetViews>
    <sheetView topLeftCell="A43" workbookViewId="0">
      <selection activeCell="F6" sqref="F6"/>
    </sheetView>
  </sheetViews>
  <sheetFormatPr defaultColWidth="7.875" defaultRowHeight="13.5"/>
  <cols>
    <col min="1" max="1" width="7.875" customWidth="1"/>
    <col min="2" max="5" width="12.125" customWidth="1"/>
    <col min="6" max="6" width="14.875" customWidth="1"/>
    <col min="7" max="12" width="12.125" customWidth="1"/>
  </cols>
  <sheetData>
    <row r="1" spans="1:12" s="2" customFormat="1" ht="24.95" customHeight="1" thickBot="1">
      <c r="F1" s="3" t="s">
        <v>519</v>
      </c>
      <c r="J1" s="4" t="s">
        <v>520</v>
      </c>
      <c r="K1" s="1149" t="str">
        <f>IF([1]総括表①!$D$10="-",[1]総括表①!$C$10,[1]総括表①!$C$10&amp;[1]総括表①!$D$10)</f>
        <v>愛知県稲沢市</v>
      </c>
      <c r="L1" s="1150"/>
    </row>
    <row r="2" spans="1:12" s="2" customFormat="1" ht="13.5" customHeight="1"/>
    <row r="3" spans="1:12" s="2" customFormat="1" ht="24.95" customHeight="1">
      <c r="B3" s="5" t="s">
        <v>197</v>
      </c>
      <c r="L3" s="6" t="s">
        <v>521</v>
      </c>
    </row>
    <row r="4" spans="1:12" s="2" customFormat="1" ht="21" customHeight="1">
      <c r="B4" s="1143" t="s">
        <v>522</v>
      </c>
      <c r="C4" s="1151" t="s">
        <v>306</v>
      </c>
      <c r="D4" s="1153" t="s">
        <v>202</v>
      </c>
      <c r="E4" s="1153" t="s">
        <v>523</v>
      </c>
      <c r="F4" s="1153" t="s">
        <v>204</v>
      </c>
      <c r="G4" s="1154" t="s">
        <v>524</v>
      </c>
      <c r="H4" s="7"/>
      <c r="I4" s="7"/>
      <c r="J4" s="8"/>
      <c r="K4" s="1153" t="s">
        <v>525</v>
      </c>
      <c r="L4" s="1147" t="s">
        <v>526</v>
      </c>
    </row>
    <row r="5" spans="1:12" s="2" customFormat="1" ht="21" customHeight="1">
      <c r="B5" s="1144"/>
      <c r="C5" s="1152"/>
      <c r="D5" s="1146"/>
      <c r="E5" s="1146"/>
      <c r="F5" s="1146"/>
      <c r="G5" s="1152"/>
      <c r="H5" s="9" t="s">
        <v>527</v>
      </c>
      <c r="I5" s="9" t="s">
        <v>528</v>
      </c>
      <c r="J5" s="9" t="s">
        <v>529</v>
      </c>
      <c r="K5" s="1146"/>
      <c r="L5" s="1148"/>
    </row>
    <row r="6" spans="1:12" s="2" customFormat="1" ht="21" customHeight="1">
      <c r="B6" s="10">
        <v>39628771</v>
      </c>
      <c r="C6" s="11">
        <v>457048</v>
      </c>
      <c r="D6" s="12">
        <v>16828848</v>
      </c>
      <c r="E6" s="11">
        <v>0</v>
      </c>
      <c r="F6" s="13">
        <v>6871191</v>
      </c>
      <c r="G6" s="11">
        <v>0</v>
      </c>
      <c r="H6" s="11">
        <v>0</v>
      </c>
      <c r="I6" s="11">
        <v>0</v>
      </c>
      <c r="J6" s="11">
        <v>0</v>
      </c>
      <c r="K6" s="11">
        <v>0</v>
      </c>
      <c r="L6" s="14">
        <v>0</v>
      </c>
    </row>
    <row r="7" spans="1:12" s="2" customFormat="1" ht="21" customHeight="1">
      <c r="A7" s="15" t="s">
        <v>530</v>
      </c>
      <c r="B7" s="16">
        <v>165.6</v>
      </c>
      <c r="C7" s="16">
        <v>1.9</v>
      </c>
      <c r="D7" s="16">
        <v>70.3</v>
      </c>
      <c r="E7" s="16" t="s">
        <v>531</v>
      </c>
      <c r="F7" s="16">
        <v>28.7</v>
      </c>
      <c r="G7" s="16" t="s">
        <v>531</v>
      </c>
      <c r="H7" s="16" t="s">
        <v>531</v>
      </c>
      <c r="I7" s="16" t="s">
        <v>531</v>
      </c>
      <c r="J7" s="16" t="str">
        <f>IF(J6=0,"",IF(#REF!=0,"-",ROUND(J6/#REF!*100,1)))</f>
        <v/>
      </c>
      <c r="K7" s="16" t="str">
        <f>IF(K6=0,"",IF(#REF!=0,"-",ROUND(K6/#REF!*100,1)))</f>
        <v/>
      </c>
      <c r="L7" s="16" t="str">
        <f>IF(L6=0,"",IF(#REF!=0,"-",ROUND(L6/#REF!*100,1)))</f>
        <v/>
      </c>
    </row>
    <row r="8" spans="1:12" s="2" customFormat="1" ht="21" customHeight="1">
      <c r="B8" s="5" t="s">
        <v>532</v>
      </c>
      <c r="E8" s="6" t="s">
        <v>521</v>
      </c>
    </row>
    <row r="9" spans="1:12" s="2" customFormat="1" ht="21" customHeight="1">
      <c r="B9" s="1143" t="s">
        <v>533</v>
      </c>
      <c r="C9" s="1145" t="s">
        <v>534</v>
      </c>
      <c r="D9" s="17"/>
      <c r="E9" s="1147" t="s">
        <v>535</v>
      </c>
      <c r="F9" s="18"/>
      <c r="G9" s="19"/>
      <c r="H9" s="19"/>
      <c r="I9" s="19"/>
      <c r="J9" s="19"/>
      <c r="K9" s="19"/>
      <c r="L9" s="19"/>
    </row>
    <row r="10" spans="1:12" s="2" customFormat="1" ht="21" customHeight="1">
      <c r="B10" s="1144"/>
      <c r="C10" s="1146"/>
      <c r="D10" s="9" t="s">
        <v>467</v>
      </c>
      <c r="E10" s="1148"/>
      <c r="F10" s="18"/>
      <c r="G10" s="19"/>
      <c r="H10" s="19"/>
      <c r="I10" s="19"/>
      <c r="J10" s="19"/>
      <c r="K10" s="19"/>
      <c r="L10" s="19"/>
    </row>
    <row r="11" spans="1:12" s="2" customFormat="1" ht="21" customHeight="1">
      <c r="B11" s="10">
        <v>12742440</v>
      </c>
      <c r="C11" s="11">
        <v>8456090</v>
      </c>
      <c r="D11" s="11">
        <v>7795769</v>
      </c>
      <c r="E11" s="20">
        <v>41770006</v>
      </c>
      <c r="F11" s="18"/>
      <c r="G11" s="19"/>
      <c r="H11" s="19"/>
      <c r="I11" s="19"/>
      <c r="J11" s="19"/>
      <c r="K11" s="19"/>
      <c r="L11" s="19"/>
    </row>
    <row r="12" spans="1:12" s="2" customFormat="1" ht="21" customHeight="1">
      <c r="A12" s="15" t="s">
        <v>530</v>
      </c>
      <c r="B12" s="16">
        <v>53.2</v>
      </c>
      <c r="C12" s="16">
        <v>35.299999999999997</v>
      </c>
      <c r="D12" s="16">
        <v>32.6</v>
      </c>
      <c r="E12" s="16">
        <v>174.5</v>
      </c>
    </row>
    <row r="13" spans="1:12" s="2" customFormat="1" ht="21" customHeight="1"/>
    <row r="14" spans="1:12" s="2" customFormat="1" ht="21" customHeight="1">
      <c r="B14" s="1155" t="s">
        <v>536</v>
      </c>
      <c r="C14" s="1156"/>
      <c r="E14" s="1155" t="s">
        <v>537</v>
      </c>
      <c r="F14" s="1156"/>
      <c r="H14" s="1155" t="s">
        <v>538</v>
      </c>
      <c r="I14" s="1156"/>
    </row>
    <row r="15" spans="1:12" s="2" customFormat="1" ht="21" customHeight="1">
      <c r="B15" s="1163">
        <f>SUM(B6:G6,K6:L6)</f>
        <v>63785858</v>
      </c>
      <c r="C15" s="1164"/>
      <c r="D15" s="21">
        <v>267</v>
      </c>
      <c r="E15" s="1163">
        <f>SUM(B11:C11,E11)</f>
        <v>62968536</v>
      </c>
      <c r="F15" s="1164"/>
      <c r="G15" s="21">
        <v>263</v>
      </c>
      <c r="H15" s="1163">
        <f>B15-E15</f>
        <v>817322</v>
      </c>
      <c r="I15" s="1164"/>
      <c r="J15" s="22">
        <v>3</v>
      </c>
      <c r="K15" s="1157" t="s">
        <v>539</v>
      </c>
      <c r="L15" s="1158"/>
    </row>
    <row r="16" spans="1:12" s="2" customFormat="1" ht="21" customHeight="1">
      <c r="K16" s="1159">
        <f>IF((B18+E18)=0,"-",IF(OR(H18&lt;0,H15&lt;0)=TRUE,"-",ROUNDDOWN(H15/H18*100,1)))</f>
        <v>3.4</v>
      </c>
      <c r="L16" s="1160"/>
    </row>
    <row r="17" spans="2:12" s="2" customFormat="1" ht="21" customHeight="1">
      <c r="B17" s="1155" t="s">
        <v>540</v>
      </c>
      <c r="C17" s="1156"/>
      <c r="E17" s="1155" t="s">
        <v>541</v>
      </c>
      <c r="F17" s="1156"/>
      <c r="H17" s="1155" t="s">
        <v>542</v>
      </c>
      <c r="I17" s="1156"/>
      <c r="L17" s="23" t="str">
        <f>IF(H15&lt;0,ROUNDDOWN(H15/H18*100,1),"")</f>
        <v/>
      </c>
    </row>
    <row r="18" spans="2:12" s="2" customFormat="1" ht="21" customHeight="1">
      <c r="B18" s="1161">
        <v>27772944</v>
      </c>
      <c r="C18" s="1162"/>
      <c r="D18" s="21">
        <v>116</v>
      </c>
      <c r="E18" s="1161">
        <v>3842459</v>
      </c>
      <c r="F18" s="1162"/>
      <c r="G18" s="21">
        <v>16</v>
      </c>
      <c r="H18" s="1161">
        <f>B18-E18</f>
        <v>23930485</v>
      </c>
      <c r="I18" s="1162"/>
      <c r="J18" s="24">
        <v>100</v>
      </c>
    </row>
    <row r="19" spans="2:12" ht="21" customHeight="1"/>
    <row r="20" spans="2:12" ht="21" customHeight="1"/>
    <row r="21" spans="2:12">
      <c r="B21" s="5" t="s">
        <v>197</v>
      </c>
    </row>
    <row r="22" spans="2:12" s="2" customFormat="1" ht="21" customHeight="1">
      <c r="B22" s="1143" t="s">
        <v>522</v>
      </c>
      <c r="C22" s="1151" t="s">
        <v>306</v>
      </c>
      <c r="D22" s="1153" t="s">
        <v>202</v>
      </c>
      <c r="E22" s="1153" t="s">
        <v>523</v>
      </c>
      <c r="F22" s="1153" t="s">
        <v>204</v>
      </c>
      <c r="G22" s="1154" t="s">
        <v>524</v>
      </c>
      <c r="H22" s="7"/>
      <c r="I22" s="7"/>
      <c r="J22" s="8"/>
      <c r="K22" s="1153" t="s">
        <v>525</v>
      </c>
      <c r="L22" s="1147" t="s">
        <v>526</v>
      </c>
    </row>
    <row r="23" spans="2:12" s="2" customFormat="1" ht="21" customHeight="1">
      <c r="B23" s="1144"/>
      <c r="C23" s="1152"/>
      <c r="D23" s="1146"/>
      <c r="E23" s="1146"/>
      <c r="F23" s="1146"/>
      <c r="G23" s="1152"/>
      <c r="H23" s="9" t="s">
        <v>527</v>
      </c>
      <c r="I23" s="9" t="s">
        <v>528</v>
      </c>
      <c r="J23" s="9" t="s">
        <v>529</v>
      </c>
      <c r="K23" s="1146"/>
      <c r="L23" s="1148"/>
    </row>
    <row r="24" spans="2:12" s="2" customFormat="1" ht="29.25" customHeight="1">
      <c r="B24" s="10">
        <v>38499667</v>
      </c>
      <c r="C24" s="11">
        <v>518315</v>
      </c>
      <c r="D24" s="12">
        <v>15443989</v>
      </c>
      <c r="E24" s="11">
        <v>0</v>
      </c>
      <c r="F24" s="13">
        <v>7701760</v>
      </c>
      <c r="G24" s="11">
        <v>0</v>
      </c>
      <c r="H24" s="11">
        <v>0</v>
      </c>
      <c r="I24" s="11">
        <v>0</v>
      </c>
      <c r="J24" s="11">
        <v>0</v>
      </c>
      <c r="K24" s="11">
        <v>0</v>
      </c>
      <c r="L24" s="14">
        <v>0</v>
      </c>
    </row>
    <row r="25" spans="2:12" s="25" customFormat="1" ht="10.5">
      <c r="B25" s="25">
        <v>158</v>
      </c>
      <c r="C25" s="25">
        <v>2.1</v>
      </c>
      <c r="D25" s="25">
        <v>63.4</v>
      </c>
      <c r="E25" s="25" t="s">
        <v>531</v>
      </c>
      <c r="F25" s="25">
        <v>31.6</v>
      </c>
    </row>
    <row r="27" spans="2:12" s="2" customFormat="1" ht="21" customHeight="1">
      <c r="B27" s="5" t="s">
        <v>532</v>
      </c>
      <c r="E27" s="6" t="s">
        <v>521</v>
      </c>
    </row>
    <row r="28" spans="2:12" s="2" customFormat="1" ht="21" customHeight="1">
      <c r="B28" s="1143" t="s">
        <v>533</v>
      </c>
      <c r="C28" s="1145" t="s">
        <v>534</v>
      </c>
      <c r="D28" s="17"/>
      <c r="E28" s="1147" t="s">
        <v>535</v>
      </c>
      <c r="F28" s="18"/>
      <c r="G28" s="19"/>
      <c r="H28" s="19"/>
      <c r="I28" s="19"/>
      <c r="J28" s="19"/>
      <c r="K28" s="19"/>
      <c r="L28" s="19"/>
    </row>
    <row r="29" spans="2:12" s="2" customFormat="1" ht="21" customHeight="1">
      <c r="B29" s="1144"/>
      <c r="C29" s="1146"/>
      <c r="D29" s="9" t="s">
        <v>467</v>
      </c>
      <c r="E29" s="1148"/>
      <c r="F29" s="18"/>
      <c r="G29" s="19"/>
      <c r="H29" s="19"/>
      <c r="I29" s="19"/>
      <c r="J29" s="19"/>
      <c r="K29" s="19"/>
      <c r="L29" s="19"/>
    </row>
    <row r="30" spans="2:12" s="2" customFormat="1" ht="21" customHeight="1">
      <c r="B30" s="10">
        <v>12785275</v>
      </c>
      <c r="C30" s="11">
        <v>8507606</v>
      </c>
      <c r="D30" s="11">
        <v>7818971</v>
      </c>
      <c r="E30" s="20">
        <v>40279500</v>
      </c>
      <c r="F30" s="18"/>
      <c r="G30" s="19"/>
      <c r="H30" s="19"/>
      <c r="I30" s="19"/>
      <c r="J30" s="19"/>
      <c r="K30" s="19"/>
      <c r="L30" s="19"/>
    </row>
    <row r="31" spans="2:12" s="25" customFormat="1" ht="10.5">
      <c r="B31" s="25">
        <v>52.5</v>
      </c>
      <c r="C31" s="25">
        <v>34.9</v>
      </c>
      <c r="D31" s="25">
        <v>32.1</v>
      </c>
      <c r="E31" s="25">
        <v>165.3</v>
      </c>
    </row>
    <row r="33" spans="2:12" s="2" customFormat="1" ht="21" customHeight="1">
      <c r="B33" s="1155" t="s">
        <v>536</v>
      </c>
      <c r="C33" s="1156"/>
      <c r="E33" s="1155" t="s">
        <v>537</v>
      </c>
      <c r="F33" s="1156"/>
      <c r="H33" s="1155" t="s">
        <v>543</v>
      </c>
      <c r="I33" s="1156"/>
    </row>
    <row r="34" spans="2:12" s="2" customFormat="1" ht="21" customHeight="1">
      <c r="B34" s="1163">
        <f>SUM(B24:G24,K24:L24)</f>
        <v>62163731</v>
      </c>
      <c r="C34" s="1164"/>
      <c r="D34" s="21">
        <v>255</v>
      </c>
      <c r="E34" s="1163">
        <f>SUM(B30:C30,E30)</f>
        <v>61572381</v>
      </c>
      <c r="F34" s="1164"/>
      <c r="G34" s="21">
        <v>253</v>
      </c>
      <c r="H34" s="1163">
        <f>B34-E34</f>
        <v>591350</v>
      </c>
      <c r="I34" s="1164"/>
      <c r="J34" s="22">
        <v>2</v>
      </c>
      <c r="K34" s="1157" t="s">
        <v>539</v>
      </c>
      <c r="L34" s="1158"/>
    </row>
    <row r="35" spans="2:12" s="2" customFormat="1" ht="21" customHeight="1">
      <c r="K35" s="1159">
        <f>IF((B37+E37)=0,"-",IF(OR(H37&lt;0,H34&lt;0)=TRUE,"-",ROUNDDOWN(H34/H37*100,1)))</f>
        <v>2.4</v>
      </c>
      <c r="L35" s="1160"/>
    </row>
    <row r="36" spans="2:12" s="2" customFormat="1" ht="21" customHeight="1">
      <c r="B36" s="1155" t="s">
        <v>540</v>
      </c>
      <c r="C36" s="1156"/>
      <c r="E36" s="1155" t="s">
        <v>541</v>
      </c>
      <c r="F36" s="1156"/>
      <c r="H36" s="1155" t="s">
        <v>542</v>
      </c>
      <c r="I36" s="1156"/>
      <c r="L36" s="23" t="str">
        <f>IF(H34&lt;0,ROUNDDOWN(H34/H37*100,1),"")</f>
        <v/>
      </c>
    </row>
    <row r="37" spans="2:12" s="2" customFormat="1" ht="21" customHeight="1">
      <c r="B37" s="1161">
        <v>27912779</v>
      </c>
      <c r="C37" s="1162"/>
      <c r="D37" s="21">
        <v>115</v>
      </c>
      <c r="E37" s="1161">
        <v>3550680</v>
      </c>
      <c r="F37" s="1162"/>
      <c r="G37" s="21">
        <v>15</v>
      </c>
      <c r="H37" s="1161">
        <f>B37-E37</f>
        <v>24362099</v>
      </c>
      <c r="I37" s="1162"/>
      <c r="J37" s="24">
        <v>100</v>
      </c>
    </row>
    <row r="42" spans="2:12">
      <c r="B42" s="5" t="s">
        <v>197</v>
      </c>
    </row>
    <row r="43" spans="2:12" s="2" customFormat="1" ht="21" customHeight="1">
      <c r="B43" s="1143" t="s">
        <v>522</v>
      </c>
      <c r="C43" s="1151" t="s">
        <v>306</v>
      </c>
      <c r="D43" s="1153" t="s">
        <v>202</v>
      </c>
      <c r="E43" s="1153" t="s">
        <v>523</v>
      </c>
      <c r="F43" s="1153" t="s">
        <v>204</v>
      </c>
      <c r="G43" s="1154" t="s">
        <v>524</v>
      </c>
      <c r="H43" s="7"/>
      <c r="I43" s="7"/>
      <c r="J43" s="8"/>
      <c r="K43" s="1153" t="s">
        <v>525</v>
      </c>
      <c r="L43" s="1147" t="s">
        <v>526</v>
      </c>
    </row>
    <row r="44" spans="2:12" s="2" customFormat="1" ht="21" customHeight="1">
      <c r="B44" s="1144"/>
      <c r="C44" s="1152"/>
      <c r="D44" s="1146"/>
      <c r="E44" s="1146"/>
      <c r="F44" s="1146"/>
      <c r="G44" s="1152"/>
      <c r="H44" s="9" t="s">
        <v>527</v>
      </c>
      <c r="I44" s="9" t="s">
        <v>528</v>
      </c>
      <c r="J44" s="9" t="s">
        <v>529</v>
      </c>
      <c r="K44" s="1146"/>
      <c r="L44" s="1148"/>
    </row>
    <row r="45" spans="2:12" s="2" customFormat="1" ht="29.25" customHeight="1">
      <c r="B45" s="10">
        <f>B6-B24</f>
        <v>1129104</v>
      </c>
      <c r="C45" s="10">
        <f t="shared" ref="C45:L45" si="0">C6-C24</f>
        <v>-61267</v>
      </c>
      <c r="D45" s="10">
        <f t="shared" si="0"/>
        <v>1384859</v>
      </c>
      <c r="E45" s="10">
        <f t="shared" si="0"/>
        <v>0</v>
      </c>
      <c r="F45" s="10">
        <f t="shared" si="0"/>
        <v>-830569</v>
      </c>
      <c r="G45" s="10">
        <f t="shared" si="0"/>
        <v>0</v>
      </c>
      <c r="H45" s="10">
        <f t="shared" si="0"/>
        <v>0</v>
      </c>
      <c r="I45" s="10">
        <f t="shared" si="0"/>
        <v>0</v>
      </c>
      <c r="J45" s="10">
        <f t="shared" si="0"/>
        <v>0</v>
      </c>
      <c r="K45" s="10">
        <f t="shared" si="0"/>
        <v>0</v>
      </c>
      <c r="L45" s="10">
        <f t="shared" si="0"/>
        <v>0</v>
      </c>
    </row>
    <row r="46" spans="2:12" s="25" customFormat="1" ht="10.5">
      <c r="B46" s="26">
        <f>B7-B25</f>
        <v>7.5999999999999943</v>
      </c>
      <c r="C46" s="26">
        <f>C7-C25</f>
        <v>-0.20000000000000018</v>
      </c>
      <c r="D46" s="26">
        <f>D7-D25</f>
        <v>6.8999999999999986</v>
      </c>
      <c r="E46" s="26"/>
      <c r="F46" s="26">
        <f>F7-F25</f>
        <v>-2.9000000000000021</v>
      </c>
    </row>
    <row r="48" spans="2:12" s="2" customFormat="1" ht="21" customHeight="1">
      <c r="B48" s="5" t="s">
        <v>532</v>
      </c>
      <c r="E48" s="6" t="s">
        <v>521</v>
      </c>
    </row>
    <row r="49" spans="2:12" s="2" customFormat="1" ht="21" customHeight="1">
      <c r="B49" s="1143" t="s">
        <v>533</v>
      </c>
      <c r="C49" s="1145" t="s">
        <v>534</v>
      </c>
      <c r="D49" s="17"/>
      <c r="E49" s="1147" t="s">
        <v>535</v>
      </c>
      <c r="F49" s="18"/>
      <c r="G49" s="19"/>
      <c r="H49" s="19"/>
      <c r="I49" s="19"/>
      <c r="J49" s="19"/>
      <c r="K49" s="19"/>
      <c r="L49" s="19"/>
    </row>
    <row r="50" spans="2:12" s="2" customFormat="1" ht="21" customHeight="1">
      <c r="B50" s="1144"/>
      <c r="C50" s="1146"/>
      <c r="D50" s="9" t="s">
        <v>467</v>
      </c>
      <c r="E50" s="1148"/>
      <c r="F50" s="18"/>
      <c r="G50" s="19"/>
      <c r="H50" s="19"/>
      <c r="I50" s="19"/>
      <c r="J50" s="19"/>
      <c r="K50" s="19"/>
      <c r="L50" s="19"/>
    </row>
    <row r="51" spans="2:12" s="2" customFormat="1" ht="21" customHeight="1">
      <c r="B51" s="10">
        <f t="shared" ref="B51:E52" si="1">B11-B30</f>
        <v>-42835</v>
      </c>
      <c r="C51" s="10">
        <f t="shared" si="1"/>
        <v>-51516</v>
      </c>
      <c r="D51" s="10">
        <f t="shared" si="1"/>
        <v>-23202</v>
      </c>
      <c r="E51" s="10">
        <f t="shared" si="1"/>
        <v>1490506</v>
      </c>
      <c r="F51" s="18"/>
      <c r="G51" s="19"/>
      <c r="H51" s="19"/>
      <c r="I51" s="19"/>
      <c r="J51" s="19"/>
      <c r="K51" s="19"/>
      <c r="L51" s="19"/>
    </row>
    <row r="52" spans="2:12">
      <c r="B52" s="27">
        <f t="shared" si="1"/>
        <v>0.70000000000000284</v>
      </c>
      <c r="C52" s="27">
        <f t="shared" si="1"/>
        <v>0.39999999999999858</v>
      </c>
      <c r="D52" s="27">
        <f t="shared" si="1"/>
        <v>0.5</v>
      </c>
      <c r="E52" s="27">
        <f t="shared" si="1"/>
        <v>9.1999999999999886</v>
      </c>
    </row>
    <row r="54" spans="2:12" s="2" customFormat="1" ht="21" customHeight="1">
      <c r="B54" s="1155" t="s">
        <v>536</v>
      </c>
      <c r="C54" s="1156"/>
      <c r="E54" s="1155" t="s">
        <v>537</v>
      </c>
      <c r="F54" s="1156"/>
      <c r="H54" s="1155" t="s">
        <v>543</v>
      </c>
      <c r="I54" s="1156"/>
    </row>
    <row r="55" spans="2:12" s="2" customFormat="1" ht="21" customHeight="1">
      <c r="B55" s="1163">
        <f>B15-B34</f>
        <v>1622127</v>
      </c>
      <c r="C55" s="1164"/>
      <c r="D55" s="21">
        <v>267</v>
      </c>
      <c r="E55" s="1163">
        <f>E15-E34</f>
        <v>1396155</v>
      </c>
      <c r="F55" s="1164"/>
      <c r="G55" s="21">
        <v>263</v>
      </c>
      <c r="H55" s="1163">
        <f>H15-H34</f>
        <v>225972</v>
      </c>
      <c r="I55" s="1164"/>
      <c r="J55" s="22">
        <v>3</v>
      </c>
      <c r="K55" s="1157" t="s">
        <v>539</v>
      </c>
      <c r="L55" s="1158"/>
    </row>
    <row r="56" spans="2:12" s="2" customFormat="1" ht="21" customHeight="1">
      <c r="K56" s="1159">
        <f>K16-K35</f>
        <v>1</v>
      </c>
      <c r="L56" s="1160"/>
    </row>
    <row r="57" spans="2:12" s="2" customFormat="1" ht="21" customHeight="1">
      <c r="B57" s="1155" t="s">
        <v>540</v>
      </c>
      <c r="C57" s="1156"/>
      <c r="E57" s="1155" t="s">
        <v>541</v>
      </c>
      <c r="F57" s="1156"/>
      <c r="H57" s="1155" t="s">
        <v>542</v>
      </c>
      <c r="I57" s="1156"/>
      <c r="L57" s="23" t="str">
        <f>IF(H55&lt;0,ROUNDDOWN(H55/H58*100,1),"")</f>
        <v/>
      </c>
    </row>
    <row r="58" spans="2:12" s="2" customFormat="1" ht="21" customHeight="1">
      <c r="B58" s="1163">
        <f>B18-B37</f>
        <v>-139835</v>
      </c>
      <c r="C58" s="1164"/>
      <c r="D58" s="21">
        <v>116</v>
      </c>
      <c r="E58" s="1163">
        <f>E18-E37</f>
        <v>291779</v>
      </c>
      <c r="F58" s="1164"/>
      <c r="G58" s="21">
        <v>16</v>
      </c>
      <c r="H58" s="1163">
        <f>H18-H37</f>
        <v>-431614</v>
      </c>
      <c r="I58" s="1164"/>
      <c r="J58" s="24">
        <v>100</v>
      </c>
    </row>
    <row r="61" spans="2:12">
      <c r="B61" t="s">
        <v>544</v>
      </c>
    </row>
    <row r="62" spans="2:12">
      <c r="B62" t="s">
        <v>545</v>
      </c>
      <c r="D62" s="28">
        <v>-830569</v>
      </c>
      <c r="G62" t="s">
        <v>546</v>
      </c>
      <c r="H62" t="s">
        <v>547</v>
      </c>
      <c r="I62" t="s">
        <v>548</v>
      </c>
    </row>
    <row r="63" spans="2:12">
      <c r="B63" t="s">
        <v>549</v>
      </c>
      <c r="D63" s="28"/>
      <c r="G63" s="25" t="s">
        <v>550</v>
      </c>
      <c r="H63" s="25" t="s">
        <v>551</v>
      </c>
      <c r="I63" s="25" t="s">
        <v>552</v>
      </c>
    </row>
    <row r="64" spans="2:12">
      <c r="B64" s="29" t="s">
        <v>553</v>
      </c>
      <c r="C64" s="30">
        <v>50.323999999999998</v>
      </c>
      <c r="D64" s="31">
        <v>48.633000000000003</v>
      </c>
      <c r="E64" s="32">
        <f>D64-C64</f>
        <v>-1.6909999999999954</v>
      </c>
      <c r="F64" s="33" t="s">
        <v>554</v>
      </c>
      <c r="G64">
        <v>1.0999999999999999E-2</v>
      </c>
      <c r="H64" s="28">
        <v>3377843</v>
      </c>
      <c r="I64" s="28">
        <f>H64*G64</f>
        <v>37156.273000000001</v>
      </c>
      <c r="J64" s="34">
        <f>I64-I69</f>
        <v>-1274.038999999997</v>
      </c>
    </row>
    <row r="65" spans="2:10">
      <c r="B65" s="35" t="s">
        <v>555</v>
      </c>
      <c r="C65" s="36">
        <v>905</v>
      </c>
      <c r="D65" s="37">
        <v>890</v>
      </c>
      <c r="E65" s="38">
        <f>D65-C65</f>
        <v>-15</v>
      </c>
      <c r="F65" s="33" t="s">
        <v>556</v>
      </c>
      <c r="G65">
        <v>0.65500000000000003</v>
      </c>
      <c r="H65" s="28">
        <v>8205046</v>
      </c>
      <c r="I65" s="28">
        <f>H65*G65</f>
        <v>5374305.1299999999</v>
      </c>
      <c r="J65" s="34">
        <f>I65-I70</f>
        <v>2168712.0639999998</v>
      </c>
    </row>
    <row r="66" spans="2:10">
      <c r="B66" t="s">
        <v>522</v>
      </c>
      <c r="D66" s="28">
        <v>1129104</v>
      </c>
      <c r="F66" s="33" t="s">
        <v>557</v>
      </c>
      <c r="G66">
        <v>0.64500000000000002</v>
      </c>
      <c r="H66" s="28">
        <v>16753998</v>
      </c>
      <c r="I66" s="28">
        <f>H66*G66</f>
        <v>10806328.710000001</v>
      </c>
      <c r="J66" s="34">
        <f>I66-I71</f>
        <v>-652596.98100000061</v>
      </c>
    </row>
    <row r="67" spans="2:10">
      <c r="F67" s="33" t="s">
        <v>558</v>
      </c>
      <c r="G67">
        <v>0.65900000000000003</v>
      </c>
      <c r="H67">
        <v>927253</v>
      </c>
      <c r="I67" s="28">
        <f>H67*G67</f>
        <v>611059.72700000007</v>
      </c>
      <c r="J67" s="34">
        <f>I67-I72</f>
        <v>-129981.95599999989</v>
      </c>
    </row>
    <row r="68" spans="2:10">
      <c r="D68" s="28"/>
      <c r="F68" s="33"/>
      <c r="J68" s="34">
        <f>SUM(J64:J67)</f>
        <v>1384859.0879999995</v>
      </c>
    </row>
    <row r="69" spans="2:10">
      <c r="B69" t="s">
        <v>202</v>
      </c>
      <c r="D69" s="28">
        <v>1384859</v>
      </c>
      <c r="F69" s="33" t="s">
        <v>554</v>
      </c>
      <c r="G69">
        <v>1.2E-2</v>
      </c>
      <c r="H69" s="28">
        <v>3202526</v>
      </c>
      <c r="I69" s="28">
        <f>H69*G69</f>
        <v>38430.311999999998</v>
      </c>
    </row>
    <row r="70" spans="2:10">
      <c r="F70" s="33" t="s">
        <v>556</v>
      </c>
      <c r="G70">
        <v>0.66300000000000003</v>
      </c>
      <c r="H70" s="28">
        <v>4834982</v>
      </c>
      <c r="I70" s="28">
        <f>H70*G70</f>
        <v>3205593.0660000001</v>
      </c>
    </row>
    <row r="71" spans="2:10">
      <c r="F71" s="33" t="s">
        <v>557</v>
      </c>
      <c r="G71">
        <v>0.66900000000000004</v>
      </c>
      <c r="H71" s="28">
        <v>17128439</v>
      </c>
      <c r="I71" s="28">
        <f>H71*G71</f>
        <v>11458925.691000002</v>
      </c>
    </row>
    <row r="72" spans="2:10">
      <c r="F72" s="33" t="s">
        <v>558</v>
      </c>
      <c r="G72">
        <v>0.75700000000000001</v>
      </c>
      <c r="H72">
        <v>978919</v>
      </c>
      <c r="I72" s="28">
        <f>H72*G72</f>
        <v>741041.68299999996</v>
      </c>
    </row>
    <row r="73" spans="2:10">
      <c r="G73" s="28"/>
      <c r="H73" s="28"/>
    </row>
    <row r="74" spans="2:10">
      <c r="G74" s="28"/>
      <c r="H74" s="28"/>
    </row>
    <row r="75" spans="2:10">
      <c r="G75" s="28"/>
      <c r="H75" s="28"/>
    </row>
    <row r="76" spans="2:10">
      <c r="H76" s="28"/>
    </row>
    <row r="79" spans="2:10">
      <c r="B79" t="s">
        <v>559</v>
      </c>
    </row>
    <row r="80" spans="2:10">
      <c r="B80" t="s">
        <v>112</v>
      </c>
      <c r="C80" s="34"/>
      <c r="D80" s="28">
        <v>-139835</v>
      </c>
      <c r="F80" s="39" t="s">
        <v>560</v>
      </c>
      <c r="G80" s="28">
        <v>291779</v>
      </c>
      <c r="H80" s="28"/>
    </row>
    <row r="81" spans="2:9">
      <c r="D81" s="28"/>
      <c r="F81" s="40" t="s">
        <v>561</v>
      </c>
    </row>
    <row r="82" spans="2:9">
      <c r="B82" s="39" t="s">
        <v>562</v>
      </c>
      <c r="D82" s="28">
        <v>-282777</v>
      </c>
      <c r="F82" s="39" t="s">
        <v>562</v>
      </c>
      <c r="G82" s="28">
        <f>H82-I82</f>
        <v>190591</v>
      </c>
      <c r="H82" s="28">
        <v>1273780</v>
      </c>
      <c r="I82" s="28">
        <v>1083189</v>
      </c>
    </row>
    <row r="83" spans="2:9">
      <c r="B83" s="39" t="s">
        <v>563</v>
      </c>
      <c r="D83" s="28">
        <v>-69263</v>
      </c>
      <c r="F83" t="s">
        <v>564</v>
      </c>
      <c r="G83" s="28">
        <f>H83-I83</f>
        <v>141881</v>
      </c>
      <c r="H83" s="28">
        <v>650197</v>
      </c>
      <c r="I83" s="28">
        <v>508316</v>
      </c>
    </row>
    <row r="84" spans="2:9">
      <c r="B84" s="39" t="s">
        <v>565</v>
      </c>
      <c r="D84" s="28">
        <v>195052</v>
      </c>
      <c r="F84" s="40" t="s">
        <v>566</v>
      </c>
    </row>
    <row r="85" spans="2:9">
      <c r="F85" t="s">
        <v>567</v>
      </c>
      <c r="G85" s="28">
        <f>H85-I85</f>
        <v>-37933</v>
      </c>
      <c r="H85" s="28">
        <v>155252</v>
      </c>
      <c r="I85" s="28">
        <v>193185</v>
      </c>
    </row>
    <row r="86" spans="2:9">
      <c r="G86" s="28"/>
      <c r="H86" s="28"/>
      <c r="I86" s="28"/>
    </row>
    <row r="87" spans="2:9" ht="126" customHeight="1">
      <c r="B87" s="1165" t="s">
        <v>568</v>
      </c>
      <c r="C87" s="1165"/>
      <c r="D87" s="1165"/>
      <c r="E87" s="1165"/>
      <c r="F87" s="1165"/>
      <c r="G87" s="1165"/>
      <c r="H87" s="1165"/>
      <c r="I87" s="1165"/>
    </row>
  </sheetData>
  <mergeCells count="77">
    <mergeCell ref="B58:C58"/>
    <mergeCell ref="E58:F58"/>
    <mergeCell ref="H58:I58"/>
    <mergeCell ref="B87:I87"/>
    <mergeCell ref="B55:C55"/>
    <mergeCell ref="E55:F55"/>
    <mergeCell ref="H55:I55"/>
    <mergeCell ref="K55:L55"/>
    <mergeCell ref="K56:L56"/>
    <mergeCell ref="B57:C57"/>
    <mergeCell ref="E57:F57"/>
    <mergeCell ref="H57:I57"/>
    <mergeCell ref="B33:C33"/>
    <mergeCell ref="K43:K44"/>
    <mergeCell ref="L43:L44"/>
    <mergeCell ref="B49:B50"/>
    <mergeCell ref="C49:C50"/>
    <mergeCell ref="E49:E50"/>
    <mergeCell ref="B36:C36"/>
    <mergeCell ref="E36:F36"/>
    <mergeCell ref="H36:I36"/>
    <mergeCell ref="K35:L35"/>
    <mergeCell ref="B34:C34"/>
    <mergeCell ref="E34:F34"/>
    <mergeCell ref="H34:I34"/>
    <mergeCell ref="K34:L34"/>
    <mergeCell ref="E33:F33"/>
    <mergeCell ref="H33:I33"/>
    <mergeCell ref="B54:C54"/>
    <mergeCell ref="E54:F54"/>
    <mergeCell ref="H54:I54"/>
    <mergeCell ref="B37:C37"/>
    <mergeCell ref="E37:F37"/>
    <mergeCell ref="H37:I37"/>
    <mergeCell ref="B43:B44"/>
    <mergeCell ref="C43:C44"/>
    <mergeCell ref="D43:D44"/>
    <mergeCell ref="E43:E44"/>
    <mergeCell ref="F43:F44"/>
    <mergeCell ref="G43:G44"/>
    <mergeCell ref="E22:E23"/>
    <mergeCell ref="F22:F23"/>
    <mergeCell ref="L22:L23"/>
    <mergeCell ref="B28:B29"/>
    <mergeCell ref="K22:K23"/>
    <mergeCell ref="G22:G23"/>
    <mergeCell ref="B22:B23"/>
    <mergeCell ref="C22:C23"/>
    <mergeCell ref="D22:D23"/>
    <mergeCell ref="E28:E29"/>
    <mergeCell ref="C28:C29"/>
    <mergeCell ref="B14:C14"/>
    <mergeCell ref="E14:F14"/>
    <mergeCell ref="K15:L15"/>
    <mergeCell ref="K16:L16"/>
    <mergeCell ref="B18:C18"/>
    <mergeCell ref="E18:F18"/>
    <mergeCell ref="H18:I18"/>
    <mergeCell ref="B17:C17"/>
    <mergeCell ref="E17:F17"/>
    <mergeCell ref="H17:I17"/>
    <mergeCell ref="H14:I14"/>
    <mergeCell ref="B15:C15"/>
    <mergeCell ref="E15:F15"/>
    <mergeCell ref="H15:I15"/>
    <mergeCell ref="B9:B10"/>
    <mergeCell ref="C9:C10"/>
    <mergeCell ref="E9:E10"/>
    <mergeCell ref="K1:L1"/>
    <mergeCell ref="B4:B5"/>
    <mergeCell ref="C4:C5"/>
    <mergeCell ref="D4:D5"/>
    <mergeCell ref="E4:E5"/>
    <mergeCell ref="F4:F5"/>
    <mergeCell ref="G4:G5"/>
    <mergeCell ref="K4:K5"/>
    <mergeCell ref="L4:L5"/>
  </mergeCells>
  <phoneticPr fontId="2"/>
  <pageMargins left="0.70866141732283472" right="0.70866141732283472" top="0.27" bottom="0.48" header="0.2"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C3:K31"/>
  <sheetViews>
    <sheetView workbookViewId="0">
      <selection activeCell="D61" sqref="D61"/>
    </sheetView>
  </sheetViews>
  <sheetFormatPr defaultRowHeight="13.5"/>
  <cols>
    <col min="3" max="3" width="11.375" style="28" bestFit="1" customWidth="1"/>
    <col min="4" max="4" width="12.5" customWidth="1"/>
    <col min="5" max="5" width="11.375" bestFit="1" customWidth="1"/>
    <col min="6" max="6" width="12.5" customWidth="1"/>
    <col min="8" max="8" width="10.875" customWidth="1"/>
  </cols>
  <sheetData>
    <row r="3" spans="3:8">
      <c r="C3" s="28">
        <f>[2]将来負担!L11</f>
        <v>63785858</v>
      </c>
    </row>
    <row r="4" spans="3:8">
      <c r="C4" s="28">
        <f>[2]将来負担!L12</f>
        <v>12742440</v>
      </c>
    </row>
    <row r="5" spans="3:8">
      <c r="C5" s="28">
        <f>[2]将来負担!L13</f>
        <v>8456090</v>
      </c>
    </row>
    <row r="6" spans="3:8">
      <c r="C6" s="28">
        <f>[2]将来負担!L14</f>
        <v>41771582</v>
      </c>
    </row>
    <row r="7" spans="3:8">
      <c r="C7" s="28">
        <f>[2]将来負担!L15</f>
        <v>27772944</v>
      </c>
    </row>
    <row r="8" spans="3:8">
      <c r="C8" s="28">
        <f>[2]将来負担!L16</f>
        <v>3842217</v>
      </c>
    </row>
    <row r="12" spans="3:8">
      <c r="C12" s="42">
        <f>C3</f>
        <v>63785858</v>
      </c>
      <c r="D12" s="34">
        <f t="shared" ref="D12:D17" si="0">C12-C22</f>
        <v>1448269</v>
      </c>
      <c r="E12" s="42">
        <f>C7</f>
        <v>27772944</v>
      </c>
      <c r="F12" s="34">
        <f>E12-E22</f>
        <v>137423</v>
      </c>
      <c r="G12" s="43">
        <f>ROUNDDOWN(C17/E14,3)</f>
        <v>3.4000000000000002E-2</v>
      </c>
      <c r="H12" s="44">
        <f>G12-G22</f>
        <v>-0.06</v>
      </c>
    </row>
    <row r="13" spans="3:8">
      <c r="C13" s="45">
        <f>C4</f>
        <v>12742440</v>
      </c>
      <c r="D13" s="34">
        <f t="shared" si="0"/>
        <v>782919</v>
      </c>
      <c r="E13" s="46">
        <f>C8</f>
        <v>3842217</v>
      </c>
      <c r="F13" s="34">
        <f>E13-E23</f>
        <v>422841</v>
      </c>
    </row>
    <row r="14" spans="3:8">
      <c r="C14" s="45">
        <f>C5</f>
        <v>8456090</v>
      </c>
      <c r="D14" s="34">
        <f t="shared" si="0"/>
        <v>-309615</v>
      </c>
      <c r="E14" s="34">
        <f>E12-E13</f>
        <v>23930727</v>
      </c>
      <c r="F14" s="34">
        <f>E14-E24</f>
        <v>-285418</v>
      </c>
    </row>
    <row r="15" spans="3:8">
      <c r="C15" s="45">
        <f>C6</f>
        <v>41771582</v>
      </c>
      <c r="D15" s="34">
        <f t="shared" si="0"/>
        <v>2436433</v>
      </c>
    </row>
    <row r="16" spans="3:8">
      <c r="C16" s="46">
        <f>SUM(C13:C15)</f>
        <v>62970112</v>
      </c>
      <c r="D16" s="34">
        <f t="shared" si="0"/>
        <v>2909737</v>
      </c>
    </row>
    <row r="17" spans="3:11">
      <c r="C17" s="28">
        <f>C12-C16</f>
        <v>815746</v>
      </c>
      <c r="D17" s="34">
        <f t="shared" si="0"/>
        <v>-1461468</v>
      </c>
    </row>
    <row r="22" spans="3:11">
      <c r="C22" s="42">
        <v>62337589</v>
      </c>
      <c r="E22" s="42">
        <v>27635521</v>
      </c>
      <c r="G22" s="43">
        <f>ROUNDDOWN(C27/E24,3)</f>
        <v>9.4E-2</v>
      </c>
    </row>
    <row r="23" spans="3:11">
      <c r="C23" s="45">
        <v>11959521</v>
      </c>
      <c r="E23" s="46">
        <v>3419376</v>
      </c>
    </row>
    <row r="24" spans="3:11">
      <c r="C24" s="45">
        <v>8765705</v>
      </c>
      <c r="E24" s="34">
        <f>E22-E23</f>
        <v>24216145</v>
      </c>
    </row>
    <row r="25" spans="3:11">
      <c r="C25" s="45">
        <v>39335149</v>
      </c>
    </row>
    <row r="26" spans="3:11">
      <c r="C26" s="46">
        <f>SUM(C23:C25)</f>
        <v>60060375</v>
      </c>
    </row>
    <row r="27" spans="3:11">
      <c r="C27" s="28">
        <f>C22-C26</f>
        <v>2277214</v>
      </c>
    </row>
    <row r="29" spans="3:11" ht="36.75" customHeight="1">
      <c r="D29" s="1166" t="s">
        <v>623</v>
      </c>
      <c r="E29" s="1166"/>
      <c r="F29" s="1166"/>
      <c r="G29" s="1166"/>
      <c r="H29" s="1166"/>
      <c r="I29" s="1166"/>
      <c r="J29" s="1166"/>
      <c r="K29" s="1166"/>
    </row>
    <row r="30" spans="3:11" ht="36.75" customHeight="1">
      <c r="D30" s="1166"/>
      <c r="E30" s="1166"/>
      <c r="F30" s="1166"/>
      <c r="G30" s="1166"/>
      <c r="H30" s="1166"/>
      <c r="I30" s="1166"/>
      <c r="J30" s="1166"/>
      <c r="K30" s="1166"/>
    </row>
    <row r="31" spans="3:11">
      <c r="D31" t="s">
        <v>624</v>
      </c>
    </row>
  </sheetData>
  <mergeCells count="1">
    <mergeCell ref="D29:K30"/>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I60"/>
  <sheetViews>
    <sheetView view="pageBreakPreview" zoomScaleNormal="100" workbookViewId="0">
      <selection activeCell="K15" sqref="K15"/>
    </sheetView>
  </sheetViews>
  <sheetFormatPr defaultRowHeight="13.5"/>
  <cols>
    <col min="1" max="1" width="3.375" style="49" customWidth="1"/>
    <col min="2" max="2" width="4.375" style="49" customWidth="1"/>
    <col min="3" max="3" width="37.625" style="49" customWidth="1"/>
    <col min="4" max="4" width="15" style="50" customWidth="1"/>
    <col min="5" max="6" width="15" style="49" customWidth="1"/>
    <col min="7" max="7" width="3" style="49" customWidth="1"/>
    <col min="8" max="16384" width="9" style="49"/>
  </cols>
  <sheetData>
    <row r="1" spans="1:6">
      <c r="A1" s="48" t="s">
        <v>628</v>
      </c>
    </row>
    <row r="3" spans="1:6" s="51" customFormat="1">
      <c r="A3" s="51" t="s">
        <v>472</v>
      </c>
      <c r="D3" s="52"/>
    </row>
    <row r="4" spans="1:6" s="53" customFormat="1">
      <c r="B4" s="1169" t="s">
        <v>473</v>
      </c>
      <c r="C4" s="1170"/>
      <c r="D4" s="54" t="s">
        <v>474</v>
      </c>
      <c r="E4" s="54" t="s">
        <v>475</v>
      </c>
      <c r="F4" s="55" t="s">
        <v>462</v>
      </c>
    </row>
    <row r="5" spans="1:6" s="53" customFormat="1">
      <c r="B5" s="55" t="s">
        <v>476</v>
      </c>
      <c r="C5" s="56" t="s">
        <v>477</v>
      </c>
      <c r="D5" s="57">
        <v>38302713</v>
      </c>
      <c r="E5" s="57">
        <v>38040231</v>
      </c>
      <c r="F5" s="58">
        <f>D5-E5</f>
        <v>262482</v>
      </c>
    </row>
    <row r="6" spans="1:6" s="53" customFormat="1">
      <c r="B6" s="55" t="s">
        <v>478</v>
      </c>
      <c r="C6" s="56" t="s">
        <v>479</v>
      </c>
      <c r="D6" s="57">
        <v>587338</v>
      </c>
      <c r="E6" s="57">
        <v>1664690</v>
      </c>
      <c r="F6" s="58">
        <f t="shared" ref="F6:F13" si="0">D6-E6</f>
        <v>-1077352</v>
      </c>
    </row>
    <row r="7" spans="1:6" s="53" customFormat="1">
      <c r="B7" s="55" t="s">
        <v>480</v>
      </c>
      <c r="C7" s="56" t="s">
        <v>468</v>
      </c>
      <c r="D7" s="57">
        <v>15015382</v>
      </c>
      <c r="E7" s="57">
        <v>16763476</v>
      </c>
      <c r="F7" s="58">
        <f t="shared" si="0"/>
        <v>-1748094</v>
      </c>
    </row>
    <row r="8" spans="1:6" s="53" customFormat="1">
      <c r="B8" s="55" t="s">
        <v>13</v>
      </c>
      <c r="C8" s="56" t="s">
        <v>481</v>
      </c>
      <c r="D8" s="57">
        <v>0</v>
      </c>
      <c r="E8" s="57">
        <v>0</v>
      </c>
      <c r="F8" s="58">
        <f t="shared" si="0"/>
        <v>0</v>
      </c>
    </row>
    <row r="9" spans="1:6" s="53" customFormat="1">
      <c r="B9" s="55" t="s">
        <v>482</v>
      </c>
      <c r="C9" s="56" t="s">
        <v>483</v>
      </c>
      <c r="D9" s="57">
        <v>8432156</v>
      </c>
      <c r="E9" s="57">
        <v>8764394</v>
      </c>
      <c r="F9" s="58">
        <f t="shared" si="0"/>
        <v>-332238</v>
      </c>
    </row>
    <row r="10" spans="1:6" s="53" customFormat="1">
      <c r="B10" s="55" t="s">
        <v>484</v>
      </c>
      <c r="C10" s="56" t="s">
        <v>485</v>
      </c>
      <c r="D10" s="57">
        <v>0</v>
      </c>
      <c r="E10" s="57">
        <v>0</v>
      </c>
      <c r="F10" s="58">
        <f t="shared" si="0"/>
        <v>0</v>
      </c>
    </row>
    <row r="11" spans="1:6" s="53" customFormat="1">
      <c r="B11" s="55" t="s">
        <v>486</v>
      </c>
      <c r="C11" s="56" t="s">
        <v>487</v>
      </c>
      <c r="D11" s="57">
        <v>0</v>
      </c>
      <c r="E11" s="57">
        <v>0</v>
      </c>
      <c r="F11" s="58">
        <f t="shared" si="0"/>
        <v>0</v>
      </c>
    </row>
    <row r="12" spans="1:6" s="53" customFormat="1">
      <c r="B12" s="55" t="s">
        <v>488</v>
      </c>
      <c r="C12" s="56" t="s">
        <v>489</v>
      </c>
      <c r="D12" s="57">
        <v>0</v>
      </c>
      <c r="E12" s="57">
        <v>0</v>
      </c>
      <c r="F12" s="58">
        <f t="shared" si="0"/>
        <v>0</v>
      </c>
    </row>
    <row r="13" spans="1:6" s="53" customFormat="1">
      <c r="B13" s="55" t="s">
        <v>490</v>
      </c>
      <c r="C13" s="56"/>
      <c r="D13" s="57">
        <f>SUM(D5:D12)</f>
        <v>62337589</v>
      </c>
      <c r="E13" s="57">
        <f>SUM(E5:E12)</f>
        <v>65232791</v>
      </c>
      <c r="F13" s="58">
        <f t="shared" si="0"/>
        <v>-2895202</v>
      </c>
    </row>
    <row r="14" spans="1:6" s="53" customFormat="1">
      <c r="D14" s="59"/>
      <c r="E14" s="59"/>
      <c r="F14" s="60"/>
    </row>
    <row r="15" spans="1:6" s="53" customFormat="1">
      <c r="B15" s="53" t="s">
        <v>491</v>
      </c>
      <c r="D15" s="61"/>
    </row>
    <row r="16" spans="1:6" s="53" customFormat="1" ht="58.5" customHeight="1">
      <c r="C16" s="1171" t="s">
        <v>492</v>
      </c>
      <c r="D16" s="1171"/>
      <c r="E16" s="1171"/>
      <c r="F16" s="1171"/>
    </row>
    <row r="17" spans="1:9" s="53" customFormat="1" ht="18" customHeight="1">
      <c r="C17" s="62"/>
      <c r="D17" s="62"/>
      <c r="E17" s="62"/>
      <c r="F17" s="62"/>
    </row>
    <row r="18" spans="1:9" s="53" customFormat="1" ht="18" customHeight="1">
      <c r="B18" s="53" t="s">
        <v>493</v>
      </c>
      <c r="C18" s="62"/>
      <c r="D18" s="62"/>
      <c r="E18" s="62"/>
      <c r="F18" s="62"/>
    </row>
    <row r="19" spans="1:9" s="53" customFormat="1" ht="18" customHeight="1">
      <c r="C19" s="63"/>
      <c r="D19" s="54" t="s">
        <v>474</v>
      </c>
      <c r="E19" s="54" t="s">
        <v>475</v>
      </c>
      <c r="F19" s="55" t="s">
        <v>462</v>
      </c>
      <c r="I19" s="64" t="s">
        <v>461</v>
      </c>
    </row>
    <row r="20" spans="1:9" s="53" customFormat="1" ht="18" customHeight="1">
      <c r="C20" s="65" t="s">
        <v>494</v>
      </c>
      <c r="D20" s="66">
        <v>1325274</v>
      </c>
      <c r="E20" s="66">
        <v>142885</v>
      </c>
      <c r="F20" s="58">
        <f>D20-E20</f>
        <v>1182389</v>
      </c>
      <c r="I20" s="66">
        <v>142885</v>
      </c>
    </row>
    <row r="21" spans="1:9" s="53" customFormat="1" ht="18" customHeight="1">
      <c r="C21" s="67" t="s">
        <v>511</v>
      </c>
      <c r="D21" s="68">
        <v>12801694</v>
      </c>
      <c r="E21" s="68">
        <v>15549857</v>
      </c>
      <c r="F21" s="58">
        <f>D21-E21</f>
        <v>-2748163</v>
      </c>
      <c r="I21" s="68">
        <v>15549857</v>
      </c>
    </row>
    <row r="22" spans="1:9" s="53" customFormat="1" ht="150" customHeight="1">
      <c r="C22" s="1172" t="s">
        <v>495</v>
      </c>
      <c r="D22" s="1172"/>
      <c r="E22" s="1172"/>
      <c r="F22" s="1172"/>
    </row>
    <row r="23" spans="1:9" s="53" customFormat="1" ht="18" customHeight="1">
      <c r="C23" s="62"/>
      <c r="D23" s="62"/>
      <c r="E23" s="62"/>
      <c r="F23" s="62"/>
    </row>
    <row r="24" spans="1:9" s="53" customFormat="1" ht="18" customHeight="1">
      <c r="B24" s="53" t="s">
        <v>512</v>
      </c>
      <c r="C24" s="62"/>
      <c r="D24" s="62"/>
      <c r="E24" s="62"/>
      <c r="F24" s="62"/>
    </row>
    <row r="25" spans="1:9" s="53" customFormat="1" ht="53.25" customHeight="1">
      <c r="C25" s="1171" t="s">
        <v>513</v>
      </c>
      <c r="D25" s="1171"/>
      <c r="E25" s="1171"/>
      <c r="F25" s="1171"/>
    </row>
    <row r="26" spans="1:9" s="53" customFormat="1" ht="18" customHeight="1">
      <c r="C26" s="62"/>
      <c r="D26" s="62"/>
      <c r="E26" s="62"/>
      <c r="F26" s="62"/>
    </row>
    <row r="27" spans="1:9" s="53" customFormat="1" ht="18" customHeight="1">
      <c r="D27" s="61"/>
    </row>
    <row r="28" spans="1:9" s="51" customFormat="1" ht="18" customHeight="1">
      <c r="A28" s="51" t="s">
        <v>496</v>
      </c>
      <c r="D28" s="52"/>
    </row>
    <row r="29" spans="1:9" ht="18" customHeight="1">
      <c r="B29" s="1173"/>
      <c r="C29" s="1174"/>
      <c r="D29" s="69" t="s">
        <v>474</v>
      </c>
      <c r="E29" s="69" t="s">
        <v>475</v>
      </c>
      <c r="F29" s="55" t="s">
        <v>462</v>
      </c>
    </row>
    <row r="30" spans="1:9" ht="18" customHeight="1">
      <c r="B30" s="1167" t="s">
        <v>509</v>
      </c>
      <c r="C30" s="1168"/>
      <c r="D30" s="70">
        <v>11959521</v>
      </c>
      <c r="E30" s="70">
        <v>8866265</v>
      </c>
      <c r="F30" s="58">
        <f>D30-E30</f>
        <v>3093256</v>
      </c>
    </row>
    <row r="31" spans="1:9" ht="18" customHeight="1">
      <c r="C31" s="1179" t="s">
        <v>514</v>
      </c>
      <c r="D31" s="1179"/>
      <c r="E31" s="1179"/>
      <c r="F31" s="1179"/>
    </row>
    <row r="32" spans="1:9" ht="27.75" customHeight="1">
      <c r="C32" s="1180"/>
      <c r="D32" s="1180"/>
      <c r="E32" s="1180"/>
      <c r="F32" s="1180"/>
    </row>
    <row r="33" spans="1:6" s="51" customFormat="1" ht="18" customHeight="1">
      <c r="A33" s="51" t="s">
        <v>497</v>
      </c>
      <c r="D33" s="52"/>
    </row>
    <row r="34" spans="1:6" s="53" customFormat="1">
      <c r="B34" s="1169" t="s">
        <v>473</v>
      </c>
      <c r="C34" s="1170"/>
      <c r="D34" s="54" t="s">
        <v>474</v>
      </c>
      <c r="E34" s="54" t="s">
        <v>475</v>
      </c>
      <c r="F34" s="55" t="s">
        <v>462</v>
      </c>
    </row>
    <row r="35" spans="1:6" s="53" customFormat="1">
      <c r="B35" s="55" t="s">
        <v>476</v>
      </c>
      <c r="C35" s="71" t="s">
        <v>498</v>
      </c>
      <c r="D35" s="57"/>
      <c r="E35" s="57">
        <v>0</v>
      </c>
      <c r="F35" s="58">
        <f>D35-E35</f>
        <v>0</v>
      </c>
    </row>
    <row r="36" spans="1:6" s="53" customFormat="1">
      <c r="B36" s="55" t="s">
        <v>478</v>
      </c>
      <c r="C36" s="71" t="s">
        <v>499</v>
      </c>
      <c r="D36" s="57"/>
      <c r="E36" s="57">
        <v>0</v>
      </c>
      <c r="F36" s="58">
        <f t="shared" ref="F36:F41" si="1">D36-E36</f>
        <v>0</v>
      </c>
    </row>
    <row r="37" spans="1:6" s="53" customFormat="1">
      <c r="B37" s="55" t="s">
        <v>480</v>
      </c>
      <c r="C37" s="71" t="s">
        <v>500</v>
      </c>
      <c r="D37" s="57">
        <v>716391</v>
      </c>
      <c r="E37" s="57">
        <v>0</v>
      </c>
      <c r="F37" s="58">
        <f t="shared" si="1"/>
        <v>716391</v>
      </c>
    </row>
    <row r="38" spans="1:6" s="53" customFormat="1">
      <c r="B38" s="55" t="s">
        <v>13</v>
      </c>
      <c r="C38" s="71" t="s">
        <v>501</v>
      </c>
      <c r="D38" s="57">
        <v>8049314</v>
      </c>
      <c r="E38" s="57">
        <v>9146828</v>
      </c>
      <c r="F38" s="58">
        <f t="shared" si="1"/>
        <v>-1097514</v>
      </c>
    </row>
    <row r="39" spans="1:6" s="53" customFormat="1">
      <c r="B39" s="55" t="s">
        <v>482</v>
      </c>
      <c r="C39" s="71" t="s">
        <v>502</v>
      </c>
      <c r="D39" s="57"/>
      <c r="E39" s="57">
        <v>2200000</v>
      </c>
      <c r="F39" s="58">
        <f t="shared" si="1"/>
        <v>-2200000</v>
      </c>
    </row>
    <row r="40" spans="1:6" s="53" customFormat="1">
      <c r="B40" s="55" t="s">
        <v>484</v>
      </c>
      <c r="C40" s="71" t="s">
        <v>503</v>
      </c>
      <c r="D40" s="57"/>
      <c r="E40" s="57"/>
      <c r="F40" s="58">
        <f t="shared" si="1"/>
        <v>0</v>
      </c>
    </row>
    <row r="41" spans="1:6" s="53" customFormat="1">
      <c r="B41" s="55" t="s">
        <v>490</v>
      </c>
      <c r="C41" s="56"/>
      <c r="D41" s="57">
        <f>SUM(D35:D40)</f>
        <v>8765705</v>
      </c>
      <c r="E41" s="57">
        <f>SUM(E35:E40)</f>
        <v>11346828</v>
      </c>
      <c r="F41" s="58">
        <f t="shared" si="1"/>
        <v>-2581123</v>
      </c>
    </row>
    <row r="42" spans="1:6" s="53" customFormat="1" ht="78.75" customHeight="1">
      <c r="C42" s="1172" t="s">
        <v>504</v>
      </c>
      <c r="D42" s="1172"/>
      <c r="E42" s="1172"/>
      <c r="F42" s="1172"/>
    </row>
    <row r="43" spans="1:6" ht="18" customHeight="1">
      <c r="C43" s="72"/>
      <c r="D43" s="72"/>
      <c r="E43" s="72"/>
      <c r="F43" s="72"/>
    </row>
    <row r="44" spans="1:6" ht="18" customHeight="1"/>
    <row r="45" spans="1:6" s="51" customFormat="1" ht="18" customHeight="1">
      <c r="A45" s="51" t="s">
        <v>505</v>
      </c>
      <c r="D45" s="52"/>
    </row>
    <row r="46" spans="1:6" s="53" customFormat="1" ht="18" customHeight="1">
      <c r="B46" s="1181"/>
      <c r="C46" s="1182"/>
      <c r="D46" s="54" t="s">
        <v>474</v>
      </c>
      <c r="E46" s="54" t="s">
        <v>475</v>
      </c>
      <c r="F46" s="55" t="s">
        <v>462</v>
      </c>
    </row>
    <row r="47" spans="1:6" s="53" customFormat="1" ht="18" customHeight="1">
      <c r="B47" s="1183" t="s">
        <v>510</v>
      </c>
      <c r="C47" s="1184"/>
      <c r="D47" s="57">
        <v>39335149</v>
      </c>
      <c r="E47" s="57">
        <v>37464243</v>
      </c>
      <c r="F47" s="58">
        <f>D47-E47</f>
        <v>1870906</v>
      </c>
    </row>
    <row r="48" spans="1:6" s="53" customFormat="1" ht="42.75" customHeight="1">
      <c r="C48" s="1172" t="s">
        <v>515</v>
      </c>
      <c r="D48" s="1172"/>
      <c r="E48" s="1172"/>
      <c r="F48" s="1172"/>
    </row>
    <row r="49" spans="1:7" ht="28.5" customHeight="1">
      <c r="C49" s="73"/>
      <c r="D49" s="73"/>
      <c r="E49" s="73"/>
      <c r="F49" s="73"/>
    </row>
    <row r="50" spans="1:7" ht="18" customHeight="1" thickBot="1"/>
    <row r="51" spans="1:7" ht="18" customHeight="1">
      <c r="A51" s="74"/>
      <c r="B51" s="75"/>
      <c r="C51" s="75"/>
      <c r="D51" s="76"/>
      <c r="E51" s="75"/>
      <c r="F51" s="75"/>
      <c r="G51" s="77"/>
    </row>
    <row r="52" spans="1:7" s="53" customFormat="1" ht="18" customHeight="1">
      <c r="A52" s="78"/>
      <c r="B52" s="79" t="s">
        <v>506</v>
      </c>
      <c r="C52" s="79"/>
      <c r="D52" s="59"/>
      <c r="E52" s="79"/>
      <c r="F52" s="79"/>
      <c r="G52" s="80"/>
    </row>
    <row r="53" spans="1:7" s="53" customFormat="1" ht="18" customHeight="1">
      <c r="A53" s="78"/>
      <c r="B53" s="1175"/>
      <c r="C53" s="1175"/>
      <c r="D53" s="54" t="s">
        <v>474</v>
      </c>
      <c r="E53" s="54" t="s">
        <v>475</v>
      </c>
      <c r="F53" s="55" t="s">
        <v>462</v>
      </c>
      <c r="G53" s="80"/>
    </row>
    <row r="54" spans="1:7" s="53" customFormat="1" ht="18" customHeight="1">
      <c r="A54" s="78"/>
      <c r="B54" s="1176" t="s">
        <v>516</v>
      </c>
      <c r="C54" s="1176"/>
      <c r="D54" s="57">
        <f>D13-D30-D41-D47</f>
        <v>2277214</v>
      </c>
      <c r="E54" s="57">
        <f>E13-E30-E41-E47</f>
        <v>7555455</v>
      </c>
      <c r="F54" s="58">
        <f>D54-E54</f>
        <v>-5278241</v>
      </c>
      <c r="G54" s="80"/>
    </row>
    <row r="55" spans="1:7" s="53" customFormat="1" ht="18" customHeight="1">
      <c r="A55" s="78"/>
      <c r="B55" s="1177" t="s">
        <v>507</v>
      </c>
      <c r="C55" s="1177"/>
      <c r="D55" s="57">
        <f>27635521-3419376</f>
        <v>24216145</v>
      </c>
      <c r="E55" s="57">
        <v>24234013</v>
      </c>
      <c r="F55" s="58">
        <f>D55-E55</f>
        <v>-17868</v>
      </c>
      <c r="G55" s="80"/>
    </row>
    <row r="56" spans="1:7" s="53" customFormat="1" ht="90.75" customHeight="1">
      <c r="A56" s="78"/>
      <c r="B56" s="79"/>
      <c r="C56" s="1178" t="s">
        <v>508</v>
      </c>
      <c r="D56" s="1178"/>
      <c r="E56" s="1178"/>
      <c r="F56" s="1178"/>
      <c r="G56" s="80"/>
    </row>
    <row r="57" spans="1:7" ht="18" customHeight="1" thickBot="1">
      <c r="A57" s="81"/>
      <c r="B57" s="82"/>
      <c r="C57" s="82"/>
      <c r="D57" s="83"/>
      <c r="E57" s="82"/>
      <c r="F57" s="82"/>
      <c r="G57" s="84"/>
    </row>
    <row r="58" spans="1:7" ht="18" customHeight="1"/>
    <row r="59" spans="1:7" ht="18" customHeight="1"/>
    <row r="60" spans="1:7" ht="18" customHeight="1"/>
  </sheetData>
  <mergeCells count="16">
    <mergeCell ref="B53:C53"/>
    <mergeCell ref="B54:C54"/>
    <mergeCell ref="B55:C55"/>
    <mergeCell ref="C56:F56"/>
    <mergeCell ref="C31:F32"/>
    <mergeCell ref="B34:C34"/>
    <mergeCell ref="C42:F42"/>
    <mergeCell ref="B46:C46"/>
    <mergeCell ref="B47:C47"/>
    <mergeCell ref="C48:F48"/>
    <mergeCell ref="B30:C30"/>
    <mergeCell ref="B4:C4"/>
    <mergeCell ref="C16:F16"/>
    <mergeCell ref="C22:F22"/>
    <mergeCell ref="C25:F25"/>
    <mergeCell ref="B29:C29"/>
  </mergeCells>
  <phoneticPr fontId="2"/>
  <pageMargins left="0.71" right="0.21" top="1.08" bottom="0.76" header="0.36" footer="0.38"/>
  <pageSetup paperSize="9" orientation="portrait" cellComments="asDisplayed" r:id="rId1"/>
  <headerFooter alignWithMargins="0">
    <oddHeader xml:space="preserve">&amp;R&amp;"ＭＳ ゴシック,標準"参考資料:将来負担率
(報告書 Ｐ10～13)&amp;"FUJ明朝体,標準"
</oddHeader>
    <oddFooter>&amp;C&amp;P</oddFooter>
  </headerFooter>
  <rowBreaks count="1" manualBreakCount="1">
    <brk id="32"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02"/>
  <sheetViews>
    <sheetView topLeftCell="A16" zoomScale="115" zoomScaleNormal="115" workbookViewId="0">
      <selection activeCell="B3" sqref="B3:E3"/>
    </sheetView>
  </sheetViews>
  <sheetFormatPr defaultRowHeight="25.5" customHeight="1"/>
  <cols>
    <col min="1" max="1" width="1.375" style="115" customWidth="1"/>
    <col min="2" max="2" width="7.625" style="112" customWidth="1"/>
    <col min="3" max="3" width="10.625" style="112" customWidth="1"/>
    <col min="4" max="4" width="9.625" style="113" customWidth="1"/>
    <col min="5" max="12" width="11.625" style="114" customWidth="1"/>
    <col min="13" max="13" width="11.625" style="115" customWidth="1"/>
    <col min="14" max="16384" width="9" style="115"/>
  </cols>
  <sheetData>
    <row r="1" spans="2:13" ht="3" customHeight="1"/>
    <row r="2" spans="2:13" ht="25.5" customHeight="1">
      <c r="B2" s="907" t="s">
        <v>106</v>
      </c>
      <c r="C2" s="907"/>
      <c r="D2" s="907"/>
      <c r="E2" s="170" t="s">
        <v>114</v>
      </c>
      <c r="K2" s="255"/>
    </row>
    <row r="3" spans="2:13" ht="9" customHeight="1" thickBot="1"/>
    <row r="4" spans="2:13" ht="25.5" customHeight="1">
      <c r="B4" s="903" t="s">
        <v>106</v>
      </c>
      <c r="C4" s="903"/>
      <c r="D4" s="905">
        <f>ROUNDDOWN(I5/J5*100,2)</f>
        <v>-6.44</v>
      </c>
      <c r="E4" s="256" t="s">
        <v>107</v>
      </c>
      <c r="F4" s="257" t="s">
        <v>108</v>
      </c>
      <c r="G4" s="257" t="s">
        <v>109</v>
      </c>
      <c r="H4" s="258" t="s">
        <v>110</v>
      </c>
      <c r="I4" s="259" t="s">
        <v>111</v>
      </c>
      <c r="J4" s="259" t="s">
        <v>112</v>
      </c>
      <c r="K4" s="260" t="s">
        <v>52</v>
      </c>
      <c r="L4" s="171" t="s">
        <v>210</v>
      </c>
      <c r="M4" s="171" t="s">
        <v>211</v>
      </c>
    </row>
    <row r="5" spans="2:13" ht="25.5" customHeight="1" thickBot="1">
      <c r="B5" s="904"/>
      <c r="C5" s="904"/>
      <c r="D5" s="906"/>
      <c r="E5" s="261">
        <f>F25</f>
        <v>60373345</v>
      </c>
      <c r="F5" s="262">
        <f>G25</f>
        <v>58005978</v>
      </c>
      <c r="G5" s="262">
        <f>E5-F5</f>
        <v>2367367</v>
      </c>
      <c r="H5" s="263">
        <f>I25</f>
        <v>343988</v>
      </c>
      <c r="I5" s="264">
        <f>H5-G5</f>
        <v>-2023379</v>
      </c>
      <c r="J5" s="525">
        <v>31417985</v>
      </c>
      <c r="K5" s="526">
        <v>165173</v>
      </c>
      <c r="L5" s="265">
        <f>L30</f>
        <v>11.742870962284819</v>
      </c>
      <c r="M5" s="172">
        <f>I37</f>
        <v>20</v>
      </c>
    </row>
    <row r="6" spans="2:13" ht="11.25" customHeight="1">
      <c r="B6" s="226"/>
      <c r="C6" s="226"/>
      <c r="D6" s="266"/>
      <c r="E6" s="116"/>
      <c r="F6" s="116"/>
      <c r="G6" s="116"/>
      <c r="H6" s="116"/>
      <c r="I6" s="116"/>
      <c r="J6" s="116"/>
      <c r="K6" s="116"/>
      <c r="L6" s="116"/>
    </row>
    <row r="7" spans="2:13" ht="13.5" customHeight="1">
      <c r="B7" s="134" t="s">
        <v>115</v>
      </c>
    </row>
    <row r="8" spans="2:13" ht="13.5" customHeight="1">
      <c r="C8" s="908" t="s">
        <v>116</v>
      </c>
      <c r="D8" s="908"/>
      <c r="E8" s="911" t="s">
        <v>117</v>
      </c>
      <c r="F8" s="911"/>
      <c r="G8" s="911"/>
      <c r="H8" s="895" t="s">
        <v>38</v>
      </c>
      <c r="I8" s="173">
        <f>I5</f>
        <v>-2023379</v>
      </c>
      <c r="J8" s="895" t="s">
        <v>38</v>
      </c>
      <c r="K8" s="910">
        <f>ROUNDDOWN(I8/I9*100,2)</f>
        <v>-6.44</v>
      </c>
    </row>
    <row r="9" spans="2:13" ht="13.5" customHeight="1">
      <c r="C9" s="908"/>
      <c r="D9" s="908"/>
      <c r="E9" s="912" t="s">
        <v>112</v>
      </c>
      <c r="F9" s="912"/>
      <c r="G9" s="912"/>
      <c r="H9" s="895"/>
      <c r="I9" s="114">
        <f>J5</f>
        <v>31417985</v>
      </c>
      <c r="J9" s="895"/>
      <c r="K9" s="910"/>
    </row>
    <row r="10" spans="2:13" ht="13.5" customHeight="1"/>
    <row r="11" spans="2:13" ht="13.5" customHeight="1">
      <c r="B11" s="267"/>
      <c r="C11" s="134" t="s">
        <v>118</v>
      </c>
    </row>
    <row r="12" spans="2:13" ht="13.5" customHeight="1">
      <c r="B12" s="134"/>
      <c r="C12" s="267" t="s">
        <v>53</v>
      </c>
      <c r="D12" s="113" t="s">
        <v>119</v>
      </c>
      <c r="H12" s="174" t="s">
        <v>120</v>
      </c>
    </row>
    <row r="13" spans="2:13" ht="13.5" customHeight="1">
      <c r="B13" s="134"/>
      <c r="C13" s="267" t="s">
        <v>44</v>
      </c>
      <c r="D13" s="113" t="s">
        <v>726</v>
      </c>
      <c r="J13" s="174" t="s">
        <v>121</v>
      </c>
    </row>
    <row r="14" spans="2:13" ht="13.5" customHeight="1">
      <c r="B14" s="134"/>
      <c r="C14" s="267" t="s">
        <v>45</v>
      </c>
      <c r="D14" s="113" t="s">
        <v>735</v>
      </c>
    </row>
    <row r="15" spans="2:13" ht="13.5" customHeight="1">
      <c r="B15" s="134"/>
      <c r="C15" s="134"/>
      <c r="D15" s="113" t="s">
        <v>441</v>
      </c>
    </row>
    <row r="16" spans="2:13" ht="13.5" customHeight="1">
      <c r="B16" s="134"/>
      <c r="C16" s="134"/>
    </row>
    <row r="17" spans="2:12" ht="13.5" customHeight="1">
      <c r="B17" s="134"/>
      <c r="C17" s="134" t="s">
        <v>122</v>
      </c>
      <c r="H17" s="227"/>
    </row>
    <row r="18" spans="2:12" ht="13.5" customHeight="1">
      <c r="B18" s="134"/>
      <c r="C18" s="267" t="s">
        <v>53</v>
      </c>
      <c r="D18" s="113" t="s">
        <v>123</v>
      </c>
      <c r="E18" s="268" t="s">
        <v>46</v>
      </c>
    </row>
    <row r="19" spans="2:12" ht="13.5" customHeight="1">
      <c r="C19" s="267"/>
      <c r="E19" s="268" t="s">
        <v>124</v>
      </c>
    </row>
    <row r="20" spans="2:12" ht="13.5" customHeight="1">
      <c r="C20" s="267" t="s">
        <v>44</v>
      </c>
      <c r="D20" s="113" t="s">
        <v>125</v>
      </c>
      <c r="E20" s="268" t="s">
        <v>126</v>
      </c>
    </row>
    <row r="21" spans="2:12" ht="13.5" customHeight="1">
      <c r="C21" s="267" t="s">
        <v>45</v>
      </c>
      <c r="D21" s="113" t="s">
        <v>127</v>
      </c>
      <c r="E21" s="268" t="s">
        <v>128</v>
      </c>
    </row>
    <row r="22" spans="2:12" ht="5.25" customHeight="1">
      <c r="C22" s="267"/>
      <c r="E22" s="268"/>
    </row>
    <row r="23" spans="2:12" ht="13.5" customHeight="1">
      <c r="C23" s="267"/>
      <c r="D23" s="909" t="s">
        <v>133</v>
      </c>
      <c r="E23" s="909"/>
      <c r="F23" s="522" t="s">
        <v>107</v>
      </c>
      <c r="G23" s="522" t="s">
        <v>108</v>
      </c>
      <c r="H23" s="522" t="s">
        <v>109</v>
      </c>
      <c r="I23" s="522" t="s">
        <v>110</v>
      </c>
      <c r="J23" s="522" t="s">
        <v>111</v>
      </c>
    </row>
    <row r="24" spans="2:12" ht="13.5" customHeight="1" thickBot="1">
      <c r="C24" s="267"/>
      <c r="D24" s="909" t="s">
        <v>130</v>
      </c>
      <c r="E24" s="909"/>
      <c r="F24" s="521">
        <v>60373345</v>
      </c>
      <c r="G24" s="521">
        <v>58005978</v>
      </c>
      <c r="H24" s="521">
        <f>F24-G24</f>
        <v>2367367</v>
      </c>
      <c r="I24" s="521">
        <v>343988</v>
      </c>
      <c r="J24" s="521">
        <f>I24-H24</f>
        <v>-2023379</v>
      </c>
    </row>
    <row r="25" spans="2:12" ht="13.5" customHeight="1" thickBot="1">
      <c r="C25" s="267"/>
      <c r="D25" s="909" t="s">
        <v>132</v>
      </c>
      <c r="E25" s="909"/>
      <c r="F25" s="521">
        <f>SUM(F24:F24)</f>
        <v>60373345</v>
      </c>
      <c r="G25" s="521">
        <f>SUM(G24:G24)</f>
        <v>58005978</v>
      </c>
      <c r="H25" s="521">
        <f>SUM(H24:H24)</f>
        <v>2367367</v>
      </c>
      <c r="I25" s="523">
        <f>SUM(I24:I24)</f>
        <v>343988</v>
      </c>
      <c r="J25" s="524">
        <f>SUM(J24:J24)</f>
        <v>-2023379</v>
      </c>
    </row>
    <row r="26" spans="2:12" ht="13.5" customHeight="1"/>
    <row r="27" spans="2:12" ht="13.5" customHeight="1">
      <c r="C27" s="134" t="s">
        <v>129</v>
      </c>
      <c r="H27" s="227"/>
    </row>
    <row r="28" spans="2:12" ht="13.5" customHeight="1"/>
    <row r="29" spans="2:12" ht="13.5" customHeight="1">
      <c r="C29" s="134" t="s">
        <v>215</v>
      </c>
      <c r="E29" s="114" t="s">
        <v>216</v>
      </c>
    </row>
    <row r="30" spans="2:12" ht="13.5" customHeight="1">
      <c r="D30" s="901" t="s">
        <v>728</v>
      </c>
      <c r="E30" s="901"/>
      <c r="F30" s="901"/>
      <c r="G30" s="897" t="s">
        <v>47</v>
      </c>
      <c r="H30" s="898" t="s">
        <v>48</v>
      </c>
      <c r="I30" s="270">
        <f>M34</f>
        <v>1095149.875</v>
      </c>
      <c r="J30" s="897" t="s">
        <v>49</v>
      </c>
      <c r="K30" s="898" t="s">
        <v>50</v>
      </c>
      <c r="L30" s="899">
        <f>(I30/I31+0.2)/2*100</f>
        <v>11.742870962284819</v>
      </c>
    </row>
    <row r="31" spans="2:12" ht="13.5" customHeight="1">
      <c r="D31" s="902" t="s">
        <v>112</v>
      </c>
      <c r="E31" s="902"/>
      <c r="F31" s="902"/>
      <c r="G31" s="897"/>
      <c r="H31" s="898"/>
      <c r="I31" s="227">
        <f>J5</f>
        <v>31417985</v>
      </c>
      <c r="J31" s="897"/>
      <c r="K31" s="898"/>
      <c r="L31" s="899"/>
    </row>
    <row r="32" spans="2:12" ht="13.5" customHeight="1"/>
    <row r="33" spans="3:13" ht="13.5" customHeight="1">
      <c r="D33" s="113" t="s">
        <v>727</v>
      </c>
    </row>
    <row r="34" spans="3:13" ht="13.5" customHeight="1">
      <c r="D34" s="113" t="s">
        <v>51</v>
      </c>
      <c r="H34" s="900" t="s">
        <v>217</v>
      </c>
      <c r="I34" s="900"/>
      <c r="J34" s="895" t="s">
        <v>38</v>
      </c>
      <c r="K34" s="270">
        <f>I31+100000000</f>
        <v>131417985</v>
      </c>
      <c r="L34" s="895" t="s">
        <v>38</v>
      </c>
      <c r="M34" s="896">
        <f>K34/K35</f>
        <v>1095149.875</v>
      </c>
    </row>
    <row r="35" spans="3:13" ht="13.5" customHeight="1">
      <c r="H35" s="895">
        <v>120</v>
      </c>
      <c r="I35" s="895"/>
      <c r="J35" s="895"/>
      <c r="K35" s="227">
        <f>H35</f>
        <v>120</v>
      </c>
      <c r="L35" s="895"/>
      <c r="M35" s="896"/>
    </row>
    <row r="36" spans="3:13" ht="13.5" customHeight="1">
      <c r="H36" s="227"/>
      <c r="I36" s="227"/>
      <c r="J36" s="227"/>
      <c r="K36" s="227"/>
      <c r="L36" s="227"/>
      <c r="M36" s="271"/>
    </row>
    <row r="37" spans="3:13" ht="13.5" customHeight="1">
      <c r="C37" s="134" t="s">
        <v>218</v>
      </c>
      <c r="E37" s="114" t="s">
        <v>219</v>
      </c>
      <c r="I37" s="175">
        <v>20</v>
      </c>
      <c r="J37" s="227"/>
    </row>
    <row r="38" spans="3:13" ht="13.5" customHeight="1">
      <c r="J38" s="227"/>
    </row>
    <row r="39" spans="3:13" ht="13.5" customHeight="1"/>
    <row r="40" spans="3:13" ht="13.5" customHeight="1"/>
    <row r="41" spans="3:13" ht="13.5" customHeight="1"/>
    <row r="65" spans="10:10" ht="25.5" customHeight="1">
      <c r="J65" s="517"/>
    </row>
    <row r="90" spans="4:4" ht="25.5" customHeight="1">
      <c r="D90" s="273"/>
    </row>
    <row r="202" spans="5:5" ht="25.5" customHeight="1">
      <c r="E202" s="520"/>
    </row>
  </sheetData>
  <mergeCells count="24">
    <mergeCell ref="B2:D2"/>
    <mergeCell ref="C8:D9"/>
    <mergeCell ref="D25:E25"/>
    <mergeCell ref="K8:K9"/>
    <mergeCell ref="D23:E23"/>
    <mergeCell ref="D24:E24"/>
    <mergeCell ref="E8:G8"/>
    <mergeCell ref="E9:G9"/>
    <mergeCell ref="J8:J9"/>
    <mergeCell ref="D30:F30"/>
    <mergeCell ref="D31:F31"/>
    <mergeCell ref="G30:G31"/>
    <mergeCell ref="H30:H31"/>
    <mergeCell ref="B4:C5"/>
    <mergeCell ref="D4:D5"/>
    <mergeCell ref="H8:H9"/>
    <mergeCell ref="H35:I35"/>
    <mergeCell ref="J34:J35"/>
    <mergeCell ref="L34:L35"/>
    <mergeCell ref="M34:M35"/>
    <mergeCell ref="J30:J31"/>
    <mergeCell ref="K30:K31"/>
    <mergeCell ref="L30:L31"/>
    <mergeCell ref="H34:I34"/>
  </mergeCells>
  <phoneticPr fontId="2"/>
  <pageMargins left="0.59055118110236227" right="0.59055118110236227" top="0.59055118110236227" bottom="0.59055118110236227" header="0.9055118110236221" footer="0.11811023622047245"/>
  <pageSetup paperSize="9" scale="90" orientation="landscape" r:id="rId1"/>
  <headerFooter alignWithMargins="0">
    <oddHeader>&amp;R&amp;9&amp;D</oddHeader>
    <oddFooter>&amp;R&amp;8&amp;Z&amp;F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02"/>
  <sheetViews>
    <sheetView topLeftCell="B1" workbookViewId="0">
      <selection activeCell="B3" sqref="B3:E3"/>
    </sheetView>
  </sheetViews>
  <sheetFormatPr defaultRowHeight="25.5" customHeight="1"/>
  <cols>
    <col min="1" max="1" width="1.375" style="275" customWidth="1"/>
    <col min="2" max="2" width="7.625" style="272" customWidth="1"/>
    <col min="3" max="3" width="10.625" style="272" customWidth="1"/>
    <col min="4" max="4" width="9.625" style="273" customWidth="1"/>
    <col min="5" max="12" width="12.75" style="274" customWidth="1"/>
    <col min="13" max="14" width="12.75" style="275" customWidth="1"/>
    <col min="15" max="15" width="12.875" style="275" customWidth="1"/>
    <col min="16" max="16" width="12.25" style="275" bestFit="1" customWidth="1"/>
    <col min="17" max="16384" width="9" style="275"/>
  </cols>
  <sheetData>
    <row r="1" spans="2:15" ht="2.25" customHeight="1"/>
    <row r="2" spans="2:15" s="133" customFormat="1" ht="21" customHeight="1">
      <c r="B2" s="919" t="s">
        <v>134</v>
      </c>
      <c r="C2" s="919"/>
      <c r="D2" s="919"/>
      <c r="E2" s="176" t="s">
        <v>135</v>
      </c>
      <c r="F2" s="132"/>
      <c r="G2" s="132"/>
      <c r="H2" s="132"/>
      <c r="I2" s="132"/>
      <c r="J2" s="132"/>
      <c r="K2" s="132"/>
      <c r="L2" s="132"/>
      <c r="M2" s="276"/>
      <c r="N2" s="182"/>
      <c r="O2" s="182"/>
    </row>
    <row r="3" spans="2:15" s="133" customFormat="1" ht="9" customHeight="1" thickBot="1">
      <c r="B3" s="130"/>
      <c r="C3" s="130"/>
      <c r="D3" s="131"/>
      <c r="E3" s="132"/>
      <c r="F3" s="132"/>
      <c r="G3" s="132"/>
      <c r="H3" s="132"/>
      <c r="I3" s="132"/>
      <c r="J3" s="132"/>
      <c r="K3" s="132"/>
      <c r="L3" s="132"/>
      <c r="N3" s="182"/>
      <c r="O3" s="182"/>
    </row>
    <row r="4" spans="2:15" s="133" customFormat="1" ht="25.5" customHeight="1">
      <c r="B4" s="921" t="s">
        <v>134</v>
      </c>
      <c r="C4" s="921"/>
      <c r="D4" s="923">
        <f>ROUNDDOWN(I5/J5*100,2)</f>
        <v>-26.2</v>
      </c>
      <c r="E4" s="277" t="s">
        <v>142</v>
      </c>
      <c r="F4" s="278" t="s">
        <v>141</v>
      </c>
      <c r="G4" s="278" t="s">
        <v>143</v>
      </c>
      <c r="H4" s="279" t="s">
        <v>144</v>
      </c>
      <c r="I4" s="280" t="s">
        <v>145</v>
      </c>
      <c r="J4" s="281" t="s">
        <v>112</v>
      </c>
      <c r="K4" s="282" t="s">
        <v>52</v>
      </c>
      <c r="L4" s="177" t="s">
        <v>210</v>
      </c>
      <c r="M4" s="178" t="s">
        <v>211</v>
      </c>
      <c r="N4" s="179"/>
      <c r="O4" s="182"/>
    </row>
    <row r="5" spans="2:15" s="133" customFormat="1" ht="25.5" customHeight="1" thickBot="1">
      <c r="B5" s="922"/>
      <c r="C5" s="922"/>
      <c r="D5" s="924"/>
      <c r="E5" s="283">
        <v>0</v>
      </c>
      <c r="F5" s="284">
        <v>0</v>
      </c>
      <c r="G5" s="284">
        <f>J24</f>
        <v>2667018</v>
      </c>
      <c r="H5" s="285">
        <f>M47+O54</f>
        <v>5566391</v>
      </c>
      <c r="I5" s="286">
        <f>E5+F5-G5-H5</f>
        <v>-8233409</v>
      </c>
      <c r="J5" s="286">
        <f>実質赤字比率!J5</f>
        <v>31417985</v>
      </c>
      <c r="K5" s="287">
        <f>実質赤字比率!K5</f>
        <v>165173</v>
      </c>
      <c r="L5" s="288">
        <f>M58</f>
        <v>16.742870962284819</v>
      </c>
      <c r="M5" s="180">
        <v>30</v>
      </c>
      <c r="N5" s="181"/>
      <c r="O5" s="182"/>
    </row>
    <row r="6" spans="2:15" s="133" customFormat="1" ht="6.75" customHeight="1">
      <c r="B6" s="228"/>
      <c r="C6" s="228"/>
      <c r="D6" s="289"/>
      <c r="E6" s="290"/>
      <c r="F6" s="290"/>
      <c r="G6" s="290"/>
      <c r="H6" s="290"/>
      <c r="I6" s="290"/>
      <c r="J6" s="290"/>
      <c r="K6" s="290"/>
      <c r="L6" s="290"/>
      <c r="N6" s="182"/>
      <c r="O6" s="182"/>
    </row>
    <row r="7" spans="2:15" s="133" customFormat="1" ht="13.5" customHeight="1">
      <c r="B7" s="129" t="s">
        <v>115</v>
      </c>
      <c r="C7" s="130"/>
      <c r="D7" s="131"/>
      <c r="E7" s="132"/>
      <c r="F7" s="132"/>
      <c r="G7" s="132"/>
      <c r="H7" s="132"/>
      <c r="I7" s="132"/>
      <c r="J7" s="132"/>
      <c r="K7" s="132"/>
      <c r="L7" s="132"/>
      <c r="N7" s="182"/>
      <c r="O7" s="182"/>
    </row>
    <row r="8" spans="2:15" s="133" customFormat="1" ht="13.5" customHeight="1">
      <c r="B8" s="130"/>
      <c r="C8" s="920" t="s">
        <v>136</v>
      </c>
      <c r="D8" s="920"/>
      <c r="E8" s="916" t="s">
        <v>137</v>
      </c>
      <c r="F8" s="916"/>
      <c r="G8" s="916"/>
      <c r="H8" s="918" t="s">
        <v>38</v>
      </c>
      <c r="I8" s="183">
        <f>I5</f>
        <v>-8233409</v>
      </c>
      <c r="J8" s="918" t="s">
        <v>38</v>
      </c>
      <c r="K8" s="915">
        <f>ROUNDDOWN(I8/I9*100,2)</f>
        <v>-26.2</v>
      </c>
      <c r="L8" s="132"/>
      <c r="N8" s="182"/>
      <c r="O8" s="182"/>
    </row>
    <row r="9" spans="2:15" s="133" customFormat="1" ht="13.5" customHeight="1">
      <c r="B9" s="130"/>
      <c r="C9" s="920"/>
      <c r="D9" s="920"/>
      <c r="E9" s="917" t="s">
        <v>112</v>
      </c>
      <c r="F9" s="917"/>
      <c r="G9" s="917"/>
      <c r="H9" s="918"/>
      <c r="I9" s="132">
        <f>J5</f>
        <v>31417985</v>
      </c>
      <c r="J9" s="918"/>
      <c r="K9" s="915"/>
      <c r="L9" s="132"/>
    </row>
    <row r="10" spans="2:15" s="133" customFormat="1" ht="9" customHeight="1">
      <c r="B10" s="130"/>
      <c r="C10" s="130"/>
      <c r="D10" s="131"/>
      <c r="E10" s="132"/>
      <c r="F10" s="132"/>
      <c r="G10" s="132"/>
      <c r="H10" s="132"/>
      <c r="I10" s="132"/>
      <c r="J10" s="132"/>
      <c r="K10" s="132"/>
      <c r="L10" s="132"/>
    </row>
    <row r="11" spans="2:15" s="133" customFormat="1" ht="12.75" customHeight="1">
      <c r="B11" s="291"/>
      <c r="C11" s="129" t="s">
        <v>156</v>
      </c>
      <c r="D11" s="131"/>
      <c r="E11" s="132"/>
      <c r="F11" s="132"/>
      <c r="G11" s="132"/>
      <c r="H11" s="132"/>
      <c r="I11" s="229"/>
      <c r="J11" s="229"/>
      <c r="K11" s="132"/>
      <c r="L11" s="132"/>
    </row>
    <row r="12" spans="2:15" s="133" customFormat="1" ht="12.75" customHeight="1">
      <c r="B12" s="129"/>
      <c r="C12" s="291" t="s">
        <v>53</v>
      </c>
      <c r="D12" s="131" t="s">
        <v>138</v>
      </c>
      <c r="E12" s="132"/>
      <c r="F12" s="132"/>
      <c r="G12" s="132"/>
      <c r="H12" s="184"/>
      <c r="I12" s="132"/>
      <c r="J12" s="132"/>
      <c r="K12" s="132"/>
      <c r="L12" s="132"/>
    </row>
    <row r="13" spans="2:15" s="133" customFormat="1" ht="12.75" customHeight="1">
      <c r="B13" s="129"/>
      <c r="C13" s="291" t="s">
        <v>44</v>
      </c>
      <c r="D13" s="131" t="s">
        <v>139</v>
      </c>
      <c r="E13" s="132"/>
      <c r="F13" s="132"/>
      <c r="G13" s="132"/>
      <c r="H13" s="132"/>
      <c r="I13" s="132"/>
      <c r="J13" s="184"/>
      <c r="K13" s="132"/>
      <c r="L13" s="132"/>
    </row>
    <row r="14" spans="2:15" s="133" customFormat="1" ht="12.75" customHeight="1">
      <c r="B14" s="129"/>
      <c r="C14" s="291" t="s">
        <v>45</v>
      </c>
      <c r="D14" s="131" t="s">
        <v>140</v>
      </c>
      <c r="E14" s="132"/>
      <c r="F14" s="132"/>
      <c r="G14" s="132"/>
      <c r="H14" s="132"/>
      <c r="I14" s="132"/>
      <c r="J14" s="132"/>
      <c r="K14" s="132"/>
      <c r="L14" s="132"/>
    </row>
    <row r="15" spans="2:15" s="133" customFormat="1" ht="12.75" customHeight="1">
      <c r="B15" s="129"/>
      <c r="C15" s="291" t="s">
        <v>439</v>
      </c>
      <c r="D15" s="131" t="s">
        <v>782</v>
      </c>
      <c r="E15" s="132"/>
      <c r="F15" s="132"/>
      <c r="G15" s="132"/>
      <c r="H15" s="132"/>
      <c r="I15" s="132"/>
      <c r="J15" s="132"/>
      <c r="K15" s="132"/>
      <c r="L15" s="132"/>
    </row>
    <row r="16" spans="2:15" s="133" customFormat="1" ht="6" customHeight="1">
      <c r="B16" s="129"/>
      <c r="C16" s="129"/>
      <c r="D16" s="131"/>
      <c r="E16" s="132"/>
      <c r="F16" s="132"/>
      <c r="G16" s="132"/>
      <c r="H16" s="132"/>
      <c r="I16" s="132"/>
      <c r="J16" s="132"/>
      <c r="K16" s="132"/>
      <c r="L16" s="132"/>
    </row>
    <row r="17" spans="2:17" s="133" customFormat="1" ht="13.5" customHeight="1">
      <c r="B17" s="129"/>
      <c r="C17" s="129" t="s">
        <v>146</v>
      </c>
      <c r="D17" s="131"/>
      <c r="E17" s="132"/>
      <c r="F17" s="132"/>
      <c r="G17" s="132"/>
      <c r="H17" s="229"/>
      <c r="I17" s="132"/>
      <c r="J17" s="132"/>
      <c r="K17" s="229"/>
      <c r="L17" s="132"/>
    </row>
    <row r="18" spans="2:17" s="133" customFormat="1" ht="5.25" customHeight="1">
      <c r="B18" s="130"/>
      <c r="C18" s="291"/>
      <c r="D18" s="131"/>
      <c r="E18" s="292"/>
      <c r="F18" s="132"/>
      <c r="G18" s="132"/>
      <c r="H18" s="132"/>
      <c r="I18" s="132"/>
      <c r="J18" s="132"/>
      <c r="K18" s="132"/>
      <c r="L18" s="132"/>
    </row>
    <row r="19" spans="2:17" s="133" customFormat="1" ht="12.75" customHeight="1">
      <c r="B19" s="130"/>
      <c r="C19" s="291"/>
      <c r="D19" s="909" t="s">
        <v>133</v>
      </c>
      <c r="E19" s="909"/>
      <c r="F19" s="522" t="s">
        <v>107</v>
      </c>
      <c r="G19" s="522" t="s">
        <v>108</v>
      </c>
      <c r="H19" s="522" t="s">
        <v>109</v>
      </c>
      <c r="I19" s="522" t="s">
        <v>110</v>
      </c>
      <c r="J19" s="522" t="s">
        <v>147</v>
      </c>
      <c r="K19" s="132"/>
      <c r="L19" s="132"/>
    </row>
    <row r="20" spans="2:17" s="133" customFormat="1" ht="12" customHeight="1">
      <c r="B20" s="130"/>
      <c r="C20" s="291"/>
      <c r="D20" s="909" t="s">
        <v>130</v>
      </c>
      <c r="E20" s="909"/>
      <c r="F20" s="521">
        <v>60373345</v>
      </c>
      <c r="G20" s="521">
        <v>58005978</v>
      </c>
      <c r="H20" s="521">
        <f t="shared" ref="H20:H23" si="0">F20-G20</f>
        <v>2367367</v>
      </c>
      <c r="I20" s="521">
        <v>343988</v>
      </c>
      <c r="J20" s="521">
        <f>H20-I20</f>
        <v>2023379</v>
      </c>
      <c r="K20" s="132"/>
      <c r="L20" s="132"/>
    </row>
    <row r="21" spans="2:17" s="133" customFormat="1" ht="12" customHeight="1">
      <c r="B21" s="130"/>
      <c r="C21" s="291"/>
      <c r="D21" s="909" t="s">
        <v>148</v>
      </c>
      <c r="E21" s="909"/>
      <c r="F21" s="521">
        <v>12444042</v>
      </c>
      <c r="G21" s="521">
        <v>12260723</v>
      </c>
      <c r="H21" s="521">
        <f t="shared" si="0"/>
        <v>183319</v>
      </c>
      <c r="I21" s="521">
        <v>0</v>
      </c>
      <c r="J21" s="521">
        <f t="shared" ref="J21:J23" si="1">H21-I21</f>
        <v>183319</v>
      </c>
      <c r="K21" s="132"/>
      <c r="L21" s="132"/>
    </row>
    <row r="22" spans="2:17" s="133" customFormat="1" ht="12" customHeight="1">
      <c r="B22" s="130"/>
      <c r="C22" s="291"/>
      <c r="D22" s="909" t="s">
        <v>149</v>
      </c>
      <c r="E22" s="909"/>
      <c r="F22" s="521">
        <v>10733380</v>
      </c>
      <c r="G22" s="521">
        <v>10358488</v>
      </c>
      <c r="H22" s="521">
        <f t="shared" si="0"/>
        <v>374892</v>
      </c>
      <c r="I22" s="521">
        <v>0</v>
      </c>
      <c r="J22" s="521">
        <f t="shared" si="1"/>
        <v>374892</v>
      </c>
      <c r="K22" s="132"/>
      <c r="L22" s="467"/>
    </row>
    <row r="23" spans="2:17" s="115" customFormat="1" ht="12" customHeight="1" thickBot="1">
      <c r="B23" s="112"/>
      <c r="C23" s="267"/>
      <c r="D23" s="909" t="s">
        <v>341</v>
      </c>
      <c r="E23" s="909"/>
      <c r="F23" s="521">
        <v>4402910</v>
      </c>
      <c r="G23" s="521">
        <v>4317482</v>
      </c>
      <c r="H23" s="521">
        <f t="shared" si="0"/>
        <v>85428</v>
      </c>
      <c r="I23" s="521">
        <v>0</v>
      </c>
      <c r="J23" s="521">
        <f t="shared" si="1"/>
        <v>85428</v>
      </c>
      <c r="K23" s="114"/>
      <c r="L23" s="114"/>
    </row>
    <row r="24" spans="2:17" s="115" customFormat="1" ht="12" customHeight="1" thickBot="1">
      <c r="B24" s="112"/>
      <c r="C24" s="267"/>
      <c r="D24" s="909" t="s">
        <v>132</v>
      </c>
      <c r="E24" s="909"/>
      <c r="F24" s="521">
        <f>SUM(F20:F23)</f>
        <v>87953677</v>
      </c>
      <c r="G24" s="521">
        <f>SUM(G20:G23)</f>
        <v>84942671</v>
      </c>
      <c r="H24" s="521">
        <f>SUM(H20:H23)</f>
        <v>3011006</v>
      </c>
      <c r="I24" s="523">
        <f>SUM(I20:I23)</f>
        <v>343988</v>
      </c>
      <c r="J24" s="524">
        <f>SUM(J20:J23)</f>
        <v>2667018</v>
      </c>
      <c r="K24" s="114"/>
      <c r="L24" s="114"/>
    </row>
    <row r="25" spans="2:17" ht="6" customHeight="1"/>
    <row r="26" spans="2:17" s="115" customFormat="1" ht="13.5" customHeight="1">
      <c r="B26" s="112"/>
      <c r="C26" s="134" t="s">
        <v>244</v>
      </c>
      <c r="D26" s="113"/>
      <c r="E26" s="114"/>
      <c r="F26" s="114"/>
      <c r="G26" s="114"/>
      <c r="H26" s="227"/>
      <c r="I26" s="114"/>
      <c r="J26" s="114"/>
      <c r="K26" s="114"/>
      <c r="L26" s="114"/>
    </row>
    <row r="27" spans="2:17" s="115" customFormat="1" ht="12.75" customHeight="1">
      <c r="B27" s="112"/>
      <c r="C27" s="267" t="s">
        <v>448</v>
      </c>
      <c r="D27" s="113" t="s">
        <v>343</v>
      </c>
      <c r="E27" s="114"/>
      <c r="F27" s="114"/>
      <c r="G27" s="114"/>
      <c r="H27" s="227"/>
      <c r="I27" s="114"/>
      <c r="J27" s="114"/>
      <c r="K27" s="114"/>
      <c r="L27" s="114"/>
    </row>
    <row r="28" spans="2:17" s="115" customFormat="1" ht="12.75" customHeight="1">
      <c r="B28" s="112"/>
      <c r="C28" s="134"/>
      <c r="D28" s="113" t="s">
        <v>449</v>
      </c>
      <c r="E28" s="114" t="s">
        <v>712</v>
      </c>
      <c r="F28" s="114"/>
      <c r="G28" s="293"/>
      <c r="H28" s="114"/>
      <c r="I28" s="114"/>
      <c r="J28" s="114"/>
      <c r="K28" s="293" t="s">
        <v>450</v>
      </c>
      <c r="L28" s="114" t="s">
        <v>447</v>
      </c>
      <c r="M28" s="114"/>
      <c r="N28" s="114"/>
    </row>
    <row r="29" spans="2:17" s="115" customFormat="1" ht="12.75" customHeight="1">
      <c r="B29" s="112"/>
      <c r="C29" s="134"/>
      <c r="D29" s="113" t="s">
        <v>451</v>
      </c>
      <c r="E29" s="114" t="s">
        <v>713</v>
      </c>
      <c r="F29" s="114"/>
      <c r="G29" s="293"/>
      <c r="H29" s="114"/>
      <c r="I29" s="114"/>
      <c r="J29" s="114"/>
      <c r="K29" s="293" t="s">
        <v>452</v>
      </c>
      <c r="L29" s="114" t="s">
        <v>151</v>
      </c>
      <c r="M29" s="114"/>
    </row>
    <row r="30" spans="2:17" s="115" customFormat="1" ht="6" customHeight="1">
      <c r="B30" s="112"/>
      <c r="C30" s="134"/>
      <c r="D30" s="113"/>
      <c r="E30" s="114"/>
      <c r="F30" s="114"/>
      <c r="G30" s="114"/>
      <c r="H30" s="227"/>
      <c r="I30" s="114"/>
      <c r="J30" s="114"/>
      <c r="K30" s="114"/>
      <c r="L30" s="114"/>
    </row>
    <row r="31" spans="2:17" s="115" customFormat="1" ht="22.5">
      <c r="B31" s="112"/>
      <c r="C31" s="134"/>
      <c r="D31" s="913" t="s">
        <v>133</v>
      </c>
      <c r="E31" s="913"/>
      <c r="F31" s="269" t="s">
        <v>152</v>
      </c>
      <c r="G31" s="294" t="s">
        <v>442</v>
      </c>
      <c r="H31" s="294" t="s">
        <v>443</v>
      </c>
      <c r="I31" s="294" t="s">
        <v>444</v>
      </c>
      <c r="J31" s="294" t="s">
        <v>445</v>
      </c>
      <c r="K31" s="294" t="s">
        <v>446</v>
      </c>
      <c r="L31" s="294" t="s">
        <v>153</v>
      </c>
      <c r="M31" s="295"/>
      <c r="N31" s="296"/>
      <c r="O31" s="296"/>
      <c r="P31" s="295"/>
      <c r="Q31" s="114"/>
    </row>
    <row r="32" spans="2:17" s="115" customFormat="1" ht="12" customHeight="1">
      <c r="B32" s="112"/>
      <c r="C32" s="134"/>
      <c r="D32" s="913" t="s">
        <v>259</v>
      </c>
      <c r="E32" s="913"/>
      <c r="F32" s="530">
        <v>1446676</v>
      </c>
      <c r="G32" s="530">
        <v>675760</v>
      </c>
      <c r="H32" s="521">
        <v>0</v>
      </c>
      <c r="I32" s="521">
        <v>0</v>
      </c>
      <c r="J32" s="521">
        <v>0</v>
      </c>
      <c r="K32" s="297">
        <f>IF(F32-G32-H32-I32-J32&gt;0,F32-G32-H32-I32-J32,"－")</f>
        <v>770916</v>
      </c>
      <c r="L32" s="521">
        <v>0</v>
      </c>
      <c r="M32" s="116"/>
      <c r="N32" s="298"/>
      <c r="O32" s="116"/>
      <c r="P32" s="116"/>
      <c r="Q32" s="114"/>
    </row>
    <row r="33" spans="2:17" s="115" customFormat="1" ht="12" customHeight="1">
      <c r="B33" s="112"/>
      <c r="C33" s="134"/>
      <c r="D33" s="913" t="s">
        <v>150</v>
      </c>
      <c r="E33" s="913"/>
      <c r="F33" s="530">
        <v>1025140</v>
      </c>
      <c r="G33" s="530">
        <v>160497</v>
      </c>
      <c r="H33" s="564">
        <v>0</v>
      </c>
      <c r="I33" s="564">
        <v>0</v>
      </c>
      <c r="J33" s="564">
        <v>0</v>
      </c>
      <c r="K33" s="297">
        <f>IF(F33-G33-H33-I33-J33&gt;0,F33-G33-H33-I33-J33,"－")</f>
        <v>864643</v>
      </c>
      <c r="L33" s="564">
        <v>0</v>
      </c>
      <c r="M33" s="299"/>
      <c r="N33" s="298"/>
      <c r="O33" s="116"/>
      <c r="P33" s="116"/>
      <c r="Q33" s="114"/>
    </row>
    <row r="34" spans="2:17" s="115" customFormat="1" ht="12" customHeight="1">
      <c r="B34" s="112"/>
      <c r="C34" s="134"/>
      <c r="D34" s="913" t="s">
        <v>158</v>
      </c>
      <c r="E34" s="913"/>
      <c r="F34" s="521">
        <v>1392538</v>
      </c>
      <c r="G34" s="521">
        <v>972650</v>
      </c>
      <c r="H34" s="521">
        <v>0</v>
      </c>
      <c r="I34" s="521">
        <v>0</v>
      </c>
      <c r="J34" s="521">
        <v>0</v>
      </c>
      <c r="K34" s="297">
        <f>IF(F34-G34-H34-I34-J34&gt;0,F34-G34-H34-I34-J34,"－")</f>
        <v>419888</v>
      </c>
      <c r="L34" s="521">
        <v>0</v>
      </c>
      <c r="M34" s="116"/>
      <c r="N34" s="298"/>
      <c r="O34" s="116"/>
      <c r="P34" s="116"/>
      <c r="Q34" s="114"/>
    </row>
    <row r="35" spans="2:17" s="115" customFormat="1" ht="12" customHeight="1">
      <c r="B35" s="112"/>
      <c r="C35" s="134"/>
      <c r="D35" s="913" t="s">
        <v>738</v>
      </c>
      <c r="E35" s="913"/>
      <c r="F35" s="513">
        <f>SUM(F36:F37)</f>
        <v>125533</v>
      </c>
      <c r="G35" s="479">
        <f>SUM(G36:G37)</f>
        <v>56523</v>
      </c>
      <c r="H35" s="479">
        <f t="shared" ref="H35:L35" si="2">SUM(H36:H37)</f>
        <v>0</v>
      </c>
      <c r="I35" s="479">
        <f t="shared" si="2"/>
        <v>0</v>
      </c>
      <c r="J35" s="479">
        <f t="shared" si="2"/>
        <v>0</v>
      </c>
      <c r="K35" s="479">
        <f t="shared" si="2"/>
        <v>69010</v>
      </c>
      <c r="L35" s="521">
        <f t="shared" si="2"/>
        <v>0</v>
      </c>
      <c r="M35" s="116"/>
      <c r="N35" s="298"/>
      <c r="O35" s="116"/>
      <c r="P35" s="116"/>
      <c r="Q35" s="114"/>
    </row>
    <row r="36" spans="2:17" s="115" customFormat="1" ht="12" customHeight="1">
      <c r="B36" s="112"/>
      <c r="C36" s="134"/>
      <c r="D36" s="914" t="s">
        <v>739</v>
      </c>
      <c r="E36" s="914"/>
      <c r="F36" s="565">
        <v>123888</v>
      </c>
      <c r="G36" s="565">
        <v>56523</v>
      </c>
      <c r="H36" s="565">
        <v>0</v>
      </c>
      <c r="I36" s="565">
        <v>0</v>
      </c>
      <c r="J36" s="565">
        <v>0</v>
      </c>
      <c r="K36" s="466">
        <f>IF(F36-G36-H36-I36-J36&gt;0,F36-G36-H36-I36-J36,"－")</f>
        <v>67365</v>
      </c>
      <c r="L36" s="565">
        <v>0</v>
      </c>
      <c r="M36" s="116"/>
      <c r="N36" s="298"/>
      <c r="O36" s="116"/>
      <c r="P36" s="116"/>
      <c r="Q36" s="114"/>
    </row>
    <row r="37" spans="2:17" s="115" customFormat="1" ht="12" customHeight="1">
      <c r="B37" s="112"/>
      <c r="C37" s="134"/>
      <c r="D37" s="914" t="s">
        <v>740</v>
      </c>
      <c r="E37" s="914"/>
      <c r="F37" s="565">
        <v>1645</v>
      </c>
      <c r="G37" s="565">
        <v>0</v>
      </c>
      <c r="H37" s="565">
        <v>0</v>
      </c>
      <c r="I37" s="565">
        <v>0</v>
      </c>
      <c r="J37" s="565">
        <v>0</v>
      </c>
      <c r="K37" s="466">
        <f>IF(F37-G37-H37-I37-J37&gt;0,F37-G37-H37-I37-J37,"－")</f>
        <v>1645</v>
      </c>
      <c r="L37" s="565">
        <v>0</v>
      </c>
      <c r="M37" s="116"/>
      <c r="N37" s="298"/>
      <c r="O37" s="116"/>
      <c r="P37" s="116"/>
      <c r="Q37" s="114"/>
    </row>
    <row r="38" spans="2:17" s="115" customFormat="1" ht="12" customHeight="1">
      <c r="B38" s="112"/>
      <c r="C38" s="134"/>
      <c r="D38" s="913" t="s">
        <v>132</v>
      </c>
      <c r="E38" s="913"/>
      <c r="F38" s="235">
        <f>SUM(F32:F35)</f>
        <v>3989887</v>
      </c>
      <c r="G38" s="462">
        <f t="shared" ref="G38:L38" si="3">SUM(G32:G35)</f>
        <v>1865430</v>
      </c>
      <c r="H38" s="462">
        <f>SUM(H32:H35)</f>
        <v>0</v>
      </c>
      <c r="I38" s="462">
        <f t="shared" si="3"/>
        <v>0</v>
      </c>
      <c r="J38" s="462">
        <f t="shared" si="3"/>
        <v>0</v>
      </c>
      <c r="K38" s="462">
        <f t="shared" si="3"/>
        <v>2124457</v>
      </c>
      <c r="L38" s="462">
        <f t="shared" si="3"/>
        <v>0</v>
      </c>
      <c r="M38" s="116"/>
      <c r="N38" s="116"/>
      <c r="O38" s="116"/>
      <c r="P38" s="116"/>
      <c r="Q38" s="114"/>
    </row>
    <row r="39" spans="2:17" s="115" customFormat="1" ht="5.25" customHeight="1">
      <c r="B39" s="112"/>
      <c r="C39" s="134"/>
      <c r="D39" s="113"/>
      <c r="E39" s="114"/>
      <c r="F39" s="114"/>
      <c r="G39" s="114"/>
      <c r="H39" s="227"/>
      <c r="I39" s="114"/>
      <c r="J39" s="114"/>
      <c r="K39" s="114"/>
      <c r="L39" s="114"/>
    </row>
    <row r="40" spans="2:17" s="115" customFormat="1" ht="22.5">
      <c r="B40" s="112"/>
      <c r="C40" s="134"/>
      <c r="D40" s="913" t="s">
        <v>133</v>
      </c>
      <c r="E40" s="913"/>
      <c r="F40" s="269" t="s">
        <v>154</v>
      </c>
      <c r="G40" s="294" t="s">
        <v>442</v>
      </c>
      <c r="H40" s="294" t="s">
        <v>443</v>
      </c>
      <c r="I40" s="294" t="s">
        <v>444</v>
      </c>
      <c r="J40" s="294" t="s">
        <v>446</v>
      </c>
      <c r="K40" s="300" t="s">
        <v>155</v>
      </c>
      <c r="L40" s="300" t="s">
        <v>157</v>
      </c>
      <c r="M40" s="269" t="s">
        <v>165</v>
      </c>
      <c r="N40" s="114"/>
    </row>
    <row r="41" spans="2:17" s="115" customFormat="1" ht="12" customHeight="1">
      <c r="B41" s="112"/>
      <c r="C41" s="134"/>
      <c r="D41" s="913" t="s">
        <v>259</v>
      </c>
      <c r="E41" s="913"/>
      <c r="F41" s="521">
        <v>2828488</v>
      </c>
      <c r="G41" s="521">
        <v>0</v>
      </c>
      <c r="H41" s="521">
        <v>0</v>
      </c>
      <c r="I41" s="521">
        <v>0</v>
      </c>
      <c r="J41" s="235">
        <f>IF(F41-G41-H41+I41&gt;0,F41-G41-H41+I41,"－")</f>
        <v>2828488</v>
      </c>
      <c r="K41" s="564">
        <v>0</v>
      </c>
      <c r="L41" s="301" t="str">
        <f>IF(K32+L32-J41-K41&lt;0,"－",K32+L32-J41-K41)</f>
        <v>－</v>
      </c>
      <c r="M41" s="235">
        <f>IF(K32+L32-J41-K41&lt;0,K32+L32-J41-K41,"－")*-1</f>
        <v>2057572</v>
      </c>
      <c r="N41" s="114"/>
    </row>
    <row r="42" spans="2:17" s="115" customFormat="1" ht="12" customHeight="1">
      <c r="B42" s="112"/>
      <c r="C42" s="134"/>
      <c r="D42" s="913" t="s">
        <v>150</v>
      </c>
      <c r="E42" s="913"/>
      <c r="F42" s="521">
        <v>3203881</v>
      </c>
      <c r="G42" s="564">
        <v>0</v>
      </c>
      <c r="H42" s="564">
        <v>0</v>
      </c>
      <c r="I42" s="564">
        <v>0</v>
      </c>
      <c r="J42" s="297">
        <f>IF(F42-G42-H42+I42&gt;0,F42-G42-H42+I42,"－")</f>
        <v>3203881</v>
      </c>
      <c r="K42" s="564">
        <v>0</v>
      </c>
      <c r="L42" s="301" t="str">
        <f>IF(K33+L33-J42-K42&lt;0,"－",K33+L33-J42-K42)</f>
        <v>－</v>
      </c>
      <c r="M42" s="235">
        <f>IF(K33+L33-J42-K42&lt;0,K33+L33-J42-K42,"－")*-1</f>
        <v>2339238</v>
      </c>
      <c r="N42" s="114"/>
    </row>
    <row r="43" spans="2:17" s="115" customFormat="1" ht="12" customHeight="1">
      <c r="B43" s="112"/>
      <c r="C43" s="134"/>
      <c r="D43" s="913" t="s">
        <v>158</v>
      </c>
      <c r="E43" s="913"/>
      <c r="F43" s="521">
        <v>1219264</v>
      </c>
      <c r="G43" s="521">
        <v>0</v>
      </c>
      <c r="H43" s="521">
        <v>0</v>
      </c>
      <c r="I43" s="521">
        <v>0</v>
      </c>
      <c r="J43" s="235">
        <f>IF(F43-G43-H43+I43&gt;0,F43-G43-H43+I43,"－")</f>
        <v>1219264</v>
      </c>
      <c r="K43" s="564">
        <v>0</v>
      </c>
      <c r="L43" s="301" t="str">
        <f>IF(K36+L36-J43-K43&lt;0,"－",K36+L36-J43-K43)</f>
        <v>－</v>
      </c>
      <c r="M43" s="235">
        <f>IF(K34+L34-J43-K43&lt;0,K34+L34-J43-K43,"－")*-1</f>
        <v>799376</v>
      </c>
      <c r="N43" s="114"/>
    </row>
    <row r="44" spans="2:17" s="115" customFormat="1" ht="12" customHeight="1">
      <c r="B44" s="112"/>
      <c r="C44" s="134"/>
      <c r="D44" s="913" t="s">
        <v>738</v>
      </c>
      <c r="E44" s="913"/>
      <c r="F44" s="572">
        <f>SUM(F45:F46)</f>
        <v>98771</v>
      </c>
      <c r="G44" s="572">
        <f t="shared" ref="G44:M44" si="4">SUM(G45:G46)</f>
        <v>0</v>
      </c>
      <c r="H44" s="572">
        <f t="shared" si="4"/>
        <v>0</v>
      </c>
      <c r="I44" s="572">
        <f t="shared" si="4"/>
        <v>0</v>
      </c>
      <c r="J44" s="502">
        <f t="shared" si="4"/>
        <v>98771</v>
      </c>
      <c r="K44" s="521">
        <f t="shared" si="4"/>
        <v>0</v>
      </c>
      <c r="L44" s="463" t="str">
        <f>IF(K37+L37-J44-K44&lt;0,"－",K37+L37-J44-K44)</f>
        <v>－</v>
      </c>
      <c r="M44" s="462">
        <f t="shared" si="4"/>
        <v>29761</v>
      </c>
      <c r="N44" s="114"/>
    </row>
    <row r="45" spans="2:17" s="115" customFormat="1" ht="12" customHeight="1">
      <c r="B45" s="112"/>
      <c r="C45" s="134"/>
      <c r="D45" s="914" t="s">
        <v>739</v>
      </c>
      <c r="E45" s="914"/>
      <c r="F45" s="565">
        <v>84643</v>
      </c>
      <c r="G45" s="565">
        <v>0</v>
      </c>
      <c r="H45" s="565">
        <v>0</v>
      </c>
      <c r="I45" s="565">
        <v>0</v>
      </c>
      <c r="J45" s="465">
        <f>IF(F45-G45-H45+I45&gt;0,F45-G45-H45+I45,"－")</f>
        <v>84643</v>
      </c>
      <c r="K45" s="565">
        <v>0</v>
      </c>
      <c r="L45" s="468" t="str">
        <f>IF(K37+L37-J45-K45&lt;0,"－",K37+L37-J45-K45)</f>
        <v>－</v>
      </c>
      <c r="M45" s="465">
        <f>IF(K36+L36-J45-K45&lt;0,K36+L36-J45-K45,"－")*-1</f>
        <v>17278</v>
      </c>
      <c r="N45" s="114"/>
    </row>
    <row r="46" spans="2:17" s="115" customFormat="1" ht="12" customHeight="1">
      <c r="B46" s="112"/>
      <c r="C46" s="134"/>
      <c r="D46" s="914" t="s">
        <v>740</v>
      </c>
      <c r="E46" s="914"/>
      <c r="F46" s="565">
        <v>14128</v>
      </c>
      <c r="G46" s="565">
        <v>0</v>
      </c>
      <c r="H46" s="565">
        <v>0</v>
      </c>
      <c r="I46" s="565">
        <v>0</v>
      </c>
      <c r="J46" s="465">
        <f>IF(F46-G46-H46+I46&gt;0,F46-G46-H46+I46,"－")</f>
        <v>14128</v>
      </c>
      <c r="K46" s="565">
        <v>0</v>
      </c>
      <c r="L46" s="468" t="str">
        <f>IF(K37+L37-J46-K46&lt;0,"－",K37+L37-J46-K46)</f>
        <v>－</v>
      </c>
      <c r="M46" s="465">
        <f>IF(K37+L37-J46-K46&lt;0,K37+L37-J46-K46,"－")*-1</f>
        <v>12483</v>
      </c>
      <c r="N46" s="114"/>
    </row>
    <row r="47" spans="2:17" s="115" customFormat="1" ht="12" customHeight="1">
      <c r="B47" s="112"/>
      <c r="C47" s="134"/>
      <c r="D47" s="913" t="s">
        <v>132</v>
      </c>
      <c r="E47" s="913"/>
      <c r="F47" s="235">
        <f>SUM(F41:F44)</f>
        <v>7350404</v>
      </c>
      <c r="G47" s="462">
        <f t="shared" ref="G47:L47" si="5">SUM(G41:G44)</f>
        <v>0</v>
      </c>
      <c r="H47" s="462">
        <f t="shared" si="5"/>
        <v>0</v>
      </c>
      <c r="I47" s="462">
        <f t="shared" si="5"/>
        <v>0</v>
      </c>
      <c r="J47" s="462">
        <f t="shared" si="5"/>
        <v>7350404</v>
      </c>
      <c r="K47" s="462">
        <f t="shared" si="5"/>
        <v>0</v>
      </c>
      <c r="L47" s="462">
        <f t="shared" si="5"/>
        <v>0</v>
      </c>
      <c r="M47" s="462">
        <f>SUM(M41:M44)</f>
        <v>5225947</v>
      </c>
      <c r="N47" s="114"/>
    </row>
    <row r="48" spans="2:17" ht="4.5" customHeight="1">
      <c r="C48" s="302"/>
      <c r="H48" s="303"/>
    </row>
    <row r="49" spans="2:15" s="115" customFormat="1" ht="13.5" customHeight="1">
      <c r="B49" s="112"/>
      <c r="C49" s="267" t="s">
        <v>455</v>
      </c>
      <c r="D49" s="113" t="s">
        <v>344</v>
      </c>
      <c r="E49" s="114"/>
      <c r="F49" s="114"/>
      <c r="G49" s="114"/>
      <c r="H49" s="114"/>
      <c r="I49" s="114"/>
      <c r="J49" s="114"/>
      <c r="K49" s="114"/>
      <c r="L49" s="114"/>
    </row>
    <row r="50" spans="2:15" s="115" customFormat="1" ht="12.75" customHeight="1">
      <c r="B50" s="112"/>
      <c r="C50" s="267"/>
      <c r="D50" s="480" t="s">
        <v>744</v>
      </c>
      <c r="E50" s="114" t="s">
        <v>745</v>
      </c>
      <c r="F50" s="114"/>
      <c r="G50" s="293" t="s">
        <v>746</v>
      </c>
      <c r="H50" s="114" t="s">
        <v>447</v>
      </c>
      <c r="I50" s="114"/>
      <c r="J50" s="293" t="s">
        <v>747</v>
      </c>
      <c r="K50" s="114" t="s">
        <v>748</v>
      </c>
      <c r="L50" s="114"/>
    </row>
    <row r="51" spans="2:15" s="115" customFormat="1" ht="12.75" customHeight="1">
      <c r="B51" s="112"/>
      <c r="C51" s="267"/>
      <c r="D51" s="480" t="s">
        <v>749</v>
      </c>
      <c r="E51" s="114" t="s">
        <v>151</v>
      </c>
      <c r="F51" s="114"/>
      <c r="G51" s="293" t="s">
        <v>750</v>
      </c>
      <c r="H51" s="114" t="s">
        <v>345</v>
      </c>
      <c r="I51" s="114"/>
      <c r="J51" s="293"/>
      <c r="K51" s="114"/>
      <c r="L51" s="114"/>
    </row>
    <row r="52" spans="2:15" s="115" customFormat="1" ht="4.5" customHeight="1">
      <c r="B52" s="112"/>
      <c r="C52" s="267"/>
      <c r="D52" s="113"/>
      <c r="E52" s="114"/>
      <c r="F52" s="114"/>
      <c r="G52" s="114"/>
      <c r="H52" s="114"/>
      <c r="I52" s="114"/>
      <c r="J52" s="114"/>
      <c r="K52" s="114"/>
      <c r="L52" s="114"/>
    </row>
    <row r="53" spans="2:15" s="115" customFormat="1" ht="27" customHeight="1">
      <c r="B53" s="112"/>
      <c r="C53" s="112"/>
      <c r="D53" s="909" t="s">
        <v>133</v>
      </c>
      <c r="E53" s="909"/>
      <c r="F53" s="522" t="s">
        <v>107</v>
      </c>
      <c r="G53" s="522" t="s">
        <v>108</v>
      </c>
      <c r="H53" s="522" t="s">
        <v>162</v>
      </c>
      <c r="I53" s="527" t="s">
        <v>163</v>
      </c>
      <c r="J53" s="522" t="s">
        <v>127</v>
      </c>
      <c r="K53" s="527" t="s">
        <v>153</v>
      </c>
      <c r="L53" s="528" t="s">
        <v>155</v>
      </c>
      <c r="M53" s="529" t="s">
        <v>342</v>
      </c>
      <c r="N53" s="528" t="s">
        <v>157</v>
      </c>
      <c r="O53" s="522" t="s">
        <v>165</v>
      </c>
    </row>
    <row r="54" spans="2:15" s="115" customFormat="1" ht="12" customHeight="1">
      <c r="B54" s="112"/>
      <c r="C54" s="112"/>
      <c r="D54" s="909" t="s">
        <v>160</v>
      </c>
      <c r="E54" s="909"/>
      <c r="F54" s="521">
        <v>644742</v>
      </c>
      <c r="G54" s="521">
        <v>313514</v>
      </c>
      <c r="H54" s="521">
        <v>0</v>
      </c>
      <c r="I54" s="521">
        <v>0</v>
      </c>
      <c r="J54" s="521">
        <v>82640</v>
      </c>
      <c r="K54" s="521">
        <v>0</v>
      </c>
      <c r="L54" s="521">
        <v>0</v>
      </c>
      <c r="M54" s="530">
        <v>91856</v>
      </c>
      <c r="N54" s="531" t="str">
        <f>IF(G54-F54+I54+J54+K54-L54-M54&lt;0,"－",G54-F54+I54+J54+K54-L54-M54)</f>
        <v>－</v>
      </c>
      <c r="O54" s="763">
        <f>IF(G54-F54+I54+J54+K54-L54-M54&lt;0,G54-F54+I54+J54+K54-L54-M54,"－")*-1</f>
        <v>340444</v>
      </c>
    </row>
    <row r="55" spans="2:15" s="115" customFormat="1" ht="5.25" customHeight="1">
      <c r="B55" s="112"/>
      <c r="C55" s="112"/>
      <c r="D55" s="113"/>
      <c r="E55" s="114"/>
      <c r="F55" s="114"/>
      <c r="G55" s="114"/>
      <c r="H55" s="114"/>
      <c r="I55" s="114"/>
      <c r="J55" s="114"/>
      <c r="K55" s="114"/>
      <c r="L55" s="114"/>
    </row>
    <row r="56" spans="2:15" s="115" customFormat="1" ht="12" customHeight="1">
      <c r="B56" s="112"/>
      <c r="C56" s="112"/>
      <c r="D56" s="113" t="s">
        <v>164</v>
      </c>
      <c r="E56" s="114"/>
      <c r="F56" s="114"/>
      <c r="G56" s="114"/>
      <c r="H56" s="114"/>
      <c r="I56" s="114"/>
      <c r="J56" s="114"/>
      <c r="K56" s="114"/>
      <c r="L56" s="114"/>
    </row>
    <row r="57" spans="2:15" s="115" customFormat="1" ht="4.5" customHeight="1">
      <c r="B57" s="112"/>
      <c r="C57" s="112"/>
      <c r="D57" s="113"/>
      <c r="E57" s="114"/>
      <c r="F57" s="114"/>
      <c r="G57" s="114"/>
      <c r="H57" s="114"/>
      <c r="I57" s="114"/>
      <c r="J57" s="114"/>
      <c r="K57" s="114"/>
      <c r="L57" s="114"/>
    </row>
    <row r="58" spans="2:15" s="115" customFormat="1" ht="12" customHeight="1">
      <c r="B58" s="112"/>
      <c r="C58" s="134" t="s">
        <v>215</v>
      </c>
      <c r="D58" s="113"/>
      <c r="E58" s="114" t="s">
        <v>220</v>
      </c>
      <c r="F58" s="114"/>
      <c r="G58" s="114"/>
      <c r="H58" s="114"/>
      <c r="I58" s="304">
        <f>実質赤字比率!L30</f>
        <v>11.742870962284819</v>
      </c>
      <c r="J58" s="227" t="s">
        <v>453</v>
      </c>
      <c r="K58" s="304">
        <v>5</v>
      </c>
      <c r="L58" s="227" t="s">
        <v>454</v>
      </c>
      <c r="M58" s="305">
        <f>I58+K58</f>
        <v>16.742870962284819</v>
      </c>
    </row>
    <row r="59" spans="2:15" s="115" customFormat="1" ht="4.5" customHeight="1">
      <c r="B59" s="112"/>
      <c r="C59" s="134"/>
      <c r="D59" s="113"/>
      <c r="E59" s="114"/>
      <c r="F59" s="114"/>
      <c r="G59" s="114"/>
      <c r="H59" s="114"/>
      <c r="I59" s="114"/>
      <c r="J59" s="114"/>
      <c r="K59" s="114"/>
      <c r="L59" s="114"/>
    </row>
    <row r="60" spans="2:15" s="115" customFormat="1" ht="12" customHeight="1">
      <c r="B60" s="112"/>
      <c r="C60" s="134" t="s">
        <v>218</v>
      </c>
      <c r="D60" s="113"/>
      <c r="E60" s="114" t="s">
        <v>751</v>
      </c>
      <c r="F60" s="114"/>
      <c r="G60" s="114"/>
      <c r="H60" s="114"/>
      <c r="I60" s="114"/>
      <c r="J60" s="114"/>
      <c r="K60" s="114"/>
      <c r="L60" s="114"/>
    </row>
    <row r="61" spans="2:15" ht="13.5" customHeight="1"/>
    <row r="65" spans="10:10" ht="25.5" customHeight="1">
      <c r="J65" s="517"/>
    </row>
    <row r="90" spans="4:4" ht="25.5" customHeight="1">
      <c r="D90" s="113"/>
    </row>
    <row r="202" spans="5:5" ht="25.5" customHeight="1">
      <c r="E202" s="520"/>
    </row>
  </sheetData>
  <mergeCells count="33">
    <mergeCell ref="D35:E35"/>
    <mergeCell ref="D44:E44"/>
    <mergeCell ref="D54:E54"/>
    <mergeCell ref="D53:E53"/>
    <mergeCell ref="D42:E42"/>
    <mergeCell ref="D37:E37"/>
    <mergeCell ref="D36:E36"/>
    <mergeCell ref="D41:E41"/>
    <mergeCell ref="D46:E46"/>
    <mergeCell ref="D47:E47"/>
    <mergeCell ref="B2:D2"/>
    <mergeCell ref="C8:D9"/>
    <mergeCell ref="D24:E24"/>
    <mergeCell ref="D22:E22"/>
    <mergeCell ref="B4:C5"/>
    <mergeCell ref="D4:D5"/>
    <mergeCell ref="D23:E23"/>
    <mergeCell ref="D34:E34"/>
    <mergeCell ref="D43:E43"/>
    <mergeCell ref="D45:E45"/>
    <mergeCell ref="K8:K9"/>
    <mergeCell ref="D19:E19"/>
    <mergeCell ref="D20:E20"/>
    <mergeCell ref="D21:E21"/>
    <mergeCell ref="E8:G8"/>
    <mergeCell ref="E9:G9"/>
    <mergeCell ref="H8:H9"/>
    <mergeCell ref="J8:J9"/>
    <mergeCell ref="D40:E40"/>
    <mergeCell ref="D32:E32"/>
    <mergeCell ref="D38:E38"/>
    <mergeCell ref="D31:E31"/>
    <mergeCell ref="D33:E33"/>
  </mergeCells>
  <phoneticPr fontId="2"/>
  <pageMargins left="0.78740157480314965" right="0.39370078740157483" top="0.39370078740157483" bottom="0.27" header="0.51181102362204722" footer="0.11811023622047245"/>
  <pageSetup paperSize="9" scale="80" orientation="landscape" r:id="rId1"/>
  <headerFooter alignWithMargins="0">
    <oddHeader>&amp;R&amp;8&amp;D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202"/>
  <sheetViews>
    <sheetView view="pageBreakPreview" topLeftCell="A7" zoomScale="85" zoomScaleNormal="75" zoomScaleSheetLayoutView="85" workbookViewId="0">
      <selection activeCell="E59" sqref="E59"/>
    </sheetView>
  </sheetViews>
  <sheetFormatPr defaultRowHeight="14.25"/>
  <cols>
    <col min="1" max="1" width="1.5" style="315" customWidth="1"/>
    <col min="2" max="13" width="15.625" style="315" customWidth="1"/>
    <col min="14" max="14" width="4.625" style="315" customWidth="1"/>
    <col min="15" max="15" width="14.875" style="315" customWidth="1"/>
    <col min="16" max="16" width="14" style="315" customWidth="1"/>
    <col min="17" max="17" width="1.75" style="315" customWidth="1"/>
    <col min="18" max="18" width="14.5" style="315" bestFit="1" customWidth="1"/>
    <col min="19" max="21" width="14.875" style="315" customWidth="1"/>
    <col min="22" max="22" width="2.5" style="315" customWidth="1"/>
    <col min="23" max="23" width="10.5" style="315" customWidth="1"/>
    <col min="24" max="24" width="1.375" style="315" customWidth="1"/>
    <col min="25" max="16384" width="9" style="315"/>
  </cols>
  <sheetData>
    <row r="1" spans="2:18" s="115" customFormat="1" ht="8.25" customHeight="1">
      <c r="B1" s="112"/>
      <c r="C1" s="112"/>
      <c r="D1" s="113"/>
      <c r="E1" s="114"/>
      <c r="F1" s="114"/>
      <c r="G1" s="114"/>
      <c r="H1" s="114"/>
      <c r="I1" s="114"/>
      <c r="J1" s="114"/>
      <c r="K1" s="114"/>
      <c r="L1" s="114"/>
      <c r="M1" s="114"/>
    </row>
    <row r="2" spans="2:18" s="115" customFormat="1" ht="25.5" customHeight="1">
      <c r="B2" s="940" t="s">
        <v>182</v>
      </c>
      <c r="C2" s="940"/>
      <c r="D2" s="236" t="s">
        <v>420</v>
      </c>
      <c r="E2" s="110"/>
      <c r="F2" s="114"/>
      <c r="G2" s="114"/>
      <c r="H2" s="114"/>
      <c r="I2" s="114"/>
      <c r="J2" s="114"/>
      <c r="K2" s="306"/>
      <c r="L2" s="114"/>
      <c r="M2" s="114"/>
    </row>
    <row r="3" spans="2:18" s="115" customFormat="1" ht="6" customHeight="1">
      <c r="B3" s="226"/>
      <c r="C3" s="226"/>
      <c r="D3" s="266"/>
      <c r="E3" s="116"/>
      <c r="F3" s="116"/>
      <c r="G3" s="116"/>
      <c r="H3" s="116"/>
      <c r="I3" s="116"/>
      <c r="J3" s="116"/>
      <c r="K3" s="116"/>
      <c r="L3" s="116"/>
      <c r="M3" s="116"/>
    </row>
    <row r="4" spans="2:18" s="115" customFormat="1" ht="15" customHeight="1">
      <c r="B4" s="111" t="s">
        <v>115</v>
      </c>
      <c r="C4" s="112"/>
      <c r="D4" s="113"/>
      <c r="E4" s="114"/>
      <c r="F4" s="114"/>
      <c r="G4" s="114"/>
      <c r="H4" s="114"/>
      <c r="I4" s="114"/>
      <c r="J4" s="114"/>
      <c r="K4" s="114"/>
      <c r="L4" s="114"/>
      <c r="M4" s="114"/>
    </row>
    <row r="5" spans="2:18" s="115" customFormat="1" ht="15.75" customHeight="1">
      <c r="B5" s="112"/>
      <c r="C5" s="941" t="s">
        <v>178</v>
      </c>
      <c r="D5" s="941"/>
      <c r="E5" s="955" t="s">
        <v>339</v>
      </c>
      <c r="F5" s="955"/>
      <c r="G5" s="955"/>
      <c r="H5" s="955"/>
      <c r="I5" s="955"/>
      <c r="J5" s="955"/>
      <c r="K5" s="955"/>
      <c r="L5" s="955"/>
      <c r="M5" s="116"/>
      <c r="N5" s="117"/>
    </row>
    <row r="6" spans="2:18" s="115" customFormat="1" ht="15.75" customHeight="1">
      <c r="B6" s="112"/>
      <c r="C6" s="941"/>
      <c r="D6" s="941"/>
      <c r="E6" s="944" t="s">
        <v>340</v>
      </c>
      <c r="F6" s="944"/>
      <c r="G6" s="944"/>
      <c r="H6" s="944"/>
      <c r="I6" s="944"/>
      <c r="J6" s="944"/>
      <c r="K6" s="944"/>
      <c r="L6" s="116"/>
      <c r="M6" s="116"/>
      <c r="N6" s="117"/>
      <c r="O6" s="118" t="s">
        <v>680</v>
      </c>
      <c r="P6" s="118" t="s">
        <v>678</v>
      </c>
    </row>
    <row r="7" spans="2:18" s="115" customFormat="1" ht="6" customHeight="1">
      <c r="B7" s="112"/>
      <c r="C7" s="231"/>
      <c r="D7" s="231"/>
      <c r="E7" s="230"/>
      <c r="F7" s="230"/>
      <c r="G7" s="230"/>
      <c r="H7" s="230"/>
      <c r="I7" s="230"/>
      <c r="J7" s="230"/>
      <c r="K7" s="230"/>
      <c r="L7" s="116"/>
      <c r="M7" s="116"/>
      <c r="N7" s="117"/>
    </row>
    <row r="8" spans="2:18" s="115" customFormat="1" ht="15.75" customHeight="1">
      <c r="B8" s="112"/>
      <c r="C8" s="231"/>
      <c r="D8" s="952" t="s">
        <v>96</v>
      </c>
      <c r="E8" s="953" t="s">
        <v>685</v>
      </c>
      <c r="F8" s="953"/>
      <c r="G8" s="953"/>
      <c r="H8" s="945" t="s">
        <v>96</v>
      </c>
      <c r="I8" s="307">
        <f>C24+D24+E24+F24+G24+H24+I24-J24-K24-L24-C30</f>
        <v>1440539</v>
      </c>
      <c r="J8" s="945" t="s">
        <v>96</v>
      </c>
      <c r="K8" s="960">
        <f>I8/I9*100</f>
        <v>5.2840655824104106</v>
      </c>
      <c r="L8" s="976" t="s">
        <v>837</v>
      </c>
      <c r="M8" s="308"/>
      <c r="N8" s="117"/>
      <c r="O8" s="307">
        <v>850319</v>
      </c>
      <c r="P8" s="307">
        <f>I8-O8</f>
        <v>590220</v>
      </c>
      <c r="Q8" s="958"/>
      <c r="R8" s="959"/>
    </row>
    <row r="9" spans="2:18" s="115" customFormat="1" ht="15.75" customHeight="1">
      <c r="B9" s="112"/>
      <c r="C9" s="231"/>
      <c r="D9" s="952"/>
      <c r="E9" s="954" t="s">
        <v>691</v>
      </c>
      <c r="F9" s="954"/>
      <c r="G9" s="954"/>
      <c r="H9" s="945"/>
      <c r="I9" s="122">
        <f>D30+E30+F30-K24-L24-C30</f>
        <v>27261944</v>
      </c>
      <c r="J9" s="945"/>
      <c r="K9" s="960"/>
      <c r="L9" s="976"/>
      <c r="M9" s="308"/>
      <c r="N9" s="117"/>
      <c r="O9" s="122">
        <v>24778218</v>
      </c>
      <c r="P9" s="122">
        <f>I9-O9</f>
        <v>2483726</v>
      </c>
      <c r="Q9" s="958"/>
      <c r="R9" s="959"/>
    </row>
    <row r="10" spans="2:18" s="115" customFormat="1" ht="6.75" customHeight="1" thickBot="1">
      <c r="B10" s="112"/>
      <c r="C10" s="231"/>
      <c r="D10" s="231"/>
      <c r="E10" s="230"/>
      <c r="F10" s="230"/>
      <c r="G10" s="230"/>
      <c r="H10" s="230"/>
      <c r="I10" s="230"/>
      <c r="J10" s="230"/>
      <c r="K10" s="230"/>
      <c r="L10" s="116"/>
      <c r="M10" s="116"/>
      <c r="N10" s="117"/>
    </row>
    <row r="11" spans="2:18" s="115" customFormat="1" ht="15.75" customHeight="1">
      <c r="B11" s="112"/>
      <c r="C11" s="231"/>
      <c r="D11" s="931" t="s">
        <v>24</v>
      </c>
      <c r="E11" s="931"/>
      <c r="F11" s="122" t="s">
        <v>96</v>
      </c>
      <c r="G11" s="928" t="s">
        <v>176</v>
      </c>
      <c r="H11" s="928"/>
      <c r="I11" s="122" t="s">
        <v>96</v>
      </c>
      <c r="J11" s="309">
        <f>C24</f>
        <v>5012890</v>
      </c>
      <c r="K11" s="946" t="s">
        <v>210</v>
      </c>
      <c r="L11" s="956" t="s">
        <v>211</v>
      </c>
      <c r="M11" s="119"/>
      <c r="N11" s="117"/>
      <c r="O11" s="114">
        <v>3821540</v>
      </c>
      <c r="P11" s="114">
        <f>J11-O11</f>
        <v>1191350</v>
      </c>
    </row>
    <row r="12" spans="2:18" s="115" customFormat="1" ht="15.75" customHeight="1">
      <c r="B12" s="112"/>
      <c r="C12" s="231"/>
      <c r="D12" s="931" t="s">
        <v>174</v>
      </c>
      <c r="E12" s="931"/>
      <c r="F12" s="122" t="s">
        <v>96</v>
      </c>
      <c r="G12" s="928" t="s">
        <v>25</v>
      </c>
      <c r="H12" s="928"/>
      <c r="I12" s="122" t="s">
        <v>96</v>
      </c>
      <c r="J12" s="309">
        <f>SUM(D24:I24)</f>
        <v>1280143</v>
      </c>
      <c r="K12" s="947"/>
      <c r="L12" s="957"/>
      <c r="M12" s="119"/>
      <c r="N12" s="117"/>
      <c r="O12" s="114">
        <v>1393338</v>
      </c>
      <c r="P12" s="114">
        <f>J12-O12</f>
        <v>-113195</v>
      </c>
    </row>
    <row r="13" spans="2:18" s="115" customFormat="1" ht="15.75" customHeight="1">
      <c r="B13" s="112"/>
      <c r="C13" s="231"/>
      <c r="D13" s="931" t="s">
        <v>30</v>
      </c>
      <c r="E13" s="931"/>
      <c r="F13" s="122" t="s">
        <v>96</v>
      </c>
      <c r="G13" s="928" t="s">
        <v>29</v>
      </c>
      <c r="H13" s="928"/>
      <c r="I13" s="122" t="s">
        <v>96</v>
      </c>
      <c r="J13" s="309">
        <f>J24</f>
        <v>696453</v>
      </c>
      <c r="K13" s="977">
        <v>25</v>
      </c>
      <c r="L13" s="980">
        <v>35</v>
      </c>
      <c r="M13" s="119"/>
      <c r="N13" s="117"/>
      <c r="O13" s="115">
        <v>751903</v>
      </c>
      <c r="P13" s="114">
        <f>J13-O13</f>
        <v>-55450</v>
      </c>
    </row>
    <row r="14" spans="2:18" s="115" customFormat="1" ht="15.75" customHeight="1">
      <c r="B14" s="112"/>
      <c r="C14" s="231"/>
      <c r="D14" s="931" t="s">
        <v>175</v>
      </c>
      <c r="E14" s="931"/>
      <c r="F14" s="122" t="s">
        <v>96</v>
      </c>
      <c r="G14" s="928" t="s">
        <v>692</v>
      </c>
      <c r="H14" s="928"/>
      <c r="I14" s="122" t="s">
        <v>96</v>
      </c>
      <c r="J14" s="309">
        <f>K24+L24+C30</f>
        <v>4156041</v>
      </c>
      <c r="K14" s="978"/>
      <c r="L14" s="981"/>
      <c r="M14" s="120"/>
      <c r="N14" s="117"/>
      <c r="O14" s="115">
        <v>3612656</v>
      </c>
      <c r="P14" s="114">
        <f>J14-O14</f>
        <v>543385</v>
      </c>
    </row>
    <row r="15" spans="2:18" s="115" customFormat="1" ht="15.75" customHeight="1" thickBot="1">
      <c r="B15" s="112"/>
      <c r="C15" s="231"/>
      <c r="D15" s="931" t="s">
        <v>177</v>
      </c>
      <c r="E15" s="931"/>
      <c r="F15" s="122" t="s">
        <v>96</v>
      </c>
      <c r="G15" s="928" t="s">
        <v>693</v>
      </c>
      <c r="H15" s="928"/>
      <c r="I15" s="122" t="s">
        <v>96</v>
      </c>
      <c r="J15" s="309">
        <f>D30+E30+F30</f>
        <v>31417985</v>
      </c>
      <c r="K15" s="979"/>
      <c r="L15" s="982"/>
      <c r="M15" s="120"/>
      <c r="N15" s="117"/>
      <c r="O15" s="115">
        <v>28390874</v>
      </c>
      <c r="P15" s="114">
        <f>J15-O15</f>
        <v>3027111</v>
      </c>
    </row>
    <row r="16" spans="2:18" s="115" customFormat="1" ht="12" customHeight="1">
      <c r="B16" s="112"/>
      <c r="C16" s="231"/>
      <c r="D16" s="310"/>
      <c r="E16" s="310"/>
      <c r="F16" s="122"/>
      <c r="G16" s="311"/>
      <c r="H16" s="230"/>
      <c r="I16" s="230"/>
      <c r="J16" s="230"/>
      <c r="K16" s="230"/>
      <c r="L16" s="116"/>
      <c r="M16" s="116"/>
      <c r="N16" s="117"/>
    </row>
    <row r="17" spans="1:24" s="115" customFormat="1" ht="15.75" customHeight="1">
      <c r="B17" s="112"/>
      <c r="C17" s="948" t="s">
        <v>179</v>
      </c>
      <c r="D17" s="948"/>
      <c r="E17" s="949" t="s">
        <v>180</v>
      </c>
      <c r="F17" s="949"/>
      <c r="G17" s="949"/>
      <c r="H17" s="945" t="s">
        <v>96</v>
      </c>
      <c r="I17" s="121">
        <f>I28+I29+I30</f>
        <v>12.343872587600753</v>
      </c>
      <c r="J17" s="945" t="s">
        <v>96</v>
      </c>
      <c r="K17" s="951">
        <f>ROUNDDOWN(I17/I18,1)</f>
        <v>4.0999999999999996</v>
      </c>
      <c r="L17" s="925" t="s">
        <v>181</v>
      </c>
      <c r="M17" s="925"/>
      <c r="N17" s="312"/>
      <c r="O17" s="121">
        <v>11.913728913603702</v>
      </c>
      <c r="P17" s="313">
        <f>I17-O17</f>
        <v>0.43014367399705122</v>
      </c>
    </row>
    <row r="18" spans="1:24" s="115" customFormat="1" ht="15.75" customHeight="1">
      <c r="B18" s="112"/>
      <c r="C18" s="948"/>
      <c r="D18" s="948"/>
      <c r="E18" s="950">
        <v>3</v>
      </c>
      <c r="F18" s="950"/>
      <c r="G18" s="950"/>
      <c r="H18" s="945"/>
      <c r="I18" s="122">
        <v>3</v>
      </c>
      <c r="J18" s="945"/>
      <c r="K18" s="951"/>
      <c r="L18" s="925"/>
      <c r="M18" s="925"/>
      <c r="N18" s="312"/>
      <c r="O18" s="118">
        <v>3</v>
      </c>
    </row>
    <row r="19" spans="1:24" ht="24.75" customHeight="1" thickBot="1">
      <c r="A19" s="314"/>
      <c r="B19" s="314"/>
      <c r="K19" s="314"/>
      <c r="L19" s="316"/>
      <c r="M19" s="316"/>
      <c r="N19" s="316"/>
      <c r="V19" s="101"/>
    </row>
    <row r="20" spans="1:24" ht="19.5" customHeight="1">
      <c r="B20" s="929"/>
      <c r="C20" s="317" t="s">
        <v>54</v>
      </c>
      <c r="D20" s="318" t="s">
        <v>39</v>
      </c>
      <c r="E20" s="318" t="s">
        <v>55</v>
      </c>
      <c r="F20" s="318" t="s">
        <v>56</v>
      </c>
      <c r="G20" s="318" t="s">
        <v>57</v>
      </c>
      <c r="H20" s="318" t="s">
        <v>58</v>
      </c>
      <c r="I20" s="318" t="s">
        <v>59</v>
      </c>
      <c r="J20" s="318" t="s">
        <v>60</v>
      </c>
      <c r="K20" s="318" t="s">
        <v>31</v>
      </c>
      <c r="L20" s="319" t="s">
        <v>681</v>
      </c>
    </row>
    <row r="21" spans="1:24" ht="90" customHeight="1" thickBot="1">
      <c r="B21" s="930"/>
      <c r="C21" s="320" t="s">
        <v>11</v>
      </c>
      <c r="D21" s="321" t="s">
        <v>26</v>
      </c>
      <c r="E21" s="321" t="s">
        <v>27</v>
      </c>
      <c r="F21" s="321" t="s">
        <v>28</v>
      </c>
      <c r="G21" s="321" t="s">
        <v>1</v>
      </c>
      <c r="H21" s="321" t="s">
        <v>2</v>
      </c>
      <c r="I21" s="321" t="s">
        <v>3</v>
      </c>
      <c r="J21" s="321" t="s">
        <v>14</v>
      </c>
      <c r="K21" s="321" t="s">
        <v>4</v>
      </c>
      <c r="L21" s="322" t="s">
        <v>5</v>
      </c>
    </row>
    <row r="22" spans="1:24" ht="30" customHeight="1" thickTop="1">
      <c r="B22" s="538" t="s">
        <v>793</v>
      </c>
      <c r="C22" s="539">
        <v>4230171</v>
      </c>
      <c r="D22" s="540"/>
      <c r="E22" s="540"/>
      <c r="F22" s="540">
        <v>1020257</v>
      </c>
      <c r="G22" s="541"/>
      <c r="H22" s="540">
        <v>53928</v>
      </c>
      <c r="I22" s="540"/>
      <c r="J22" s="540">
        <v>698962</v>
      </c>
      <c r="K22" s="540">
        <v>375690</v>
      </c>
      <c r="L22" s="542">
        <v>3452448</v>
      </c>
    </row>
    <row r="23" spans="1:24" ht="30" customHeight="1">
      <c r="B23" s="543" t="s">
        <v>835</v>
      </c>
      <c r="C23" s="481">
        <v>4879798</v>
      </c>
      <c r="D23" s="482"/>
      <c r="E23" s="482"/>
      <c r="F23" s="482">
        <v>1098634</v>
      </c>
      <c r="G23" s="544"/>
      <c r="H23" s="482">
        <v>26804</v>
      </c>
      <c r="I23" s="482"/>
      <c r="J23" s="482">
        <v>631966</v>
      </c>
      <c r="K23" s="482">
        <v>365459</v>
      </c>
      <c r="L23" s="533">
        <v>3706579</v>
      </c>
    </row>
    <row r="24" spans="1:24" ht="30" customHeight="1" thickBot="1">
      <c r="B24" s="766" t="s">
        <v>836</v>
      </c>
      <c r="C24" s="767">
        <v>5012890</v>
      </c>
      <c r="D24" s="483"/>
      <c r="E24" s="483"/>
      <c r="F24" s="483">
        <v>1253228</v>
      </c>
      <c r="G24" s="768"/>
      <c r="H24" s="483">
        <v>26915</v>
      </c>
      <c r="I24" s="483"/>
      <c r="J24" s="483">
        <v>696453</v>
      </c>
      <c r="K24" s="483">
        <v>372216</v>
      </c>
      <c r="L24" s="769">
        <v>3636234</v>
      </c>
    </row>
    <row r="25" spans="1:24" ht="19.5" customHeight="1" thickBot="1">
      <c r="B25" s="323"/>
      <c r="H25" s="324"/>
      <c r="I25" s="324"/>
      <c r="X25" s="325"/>
    </row>
    <row r="26" spans="1:24" ht="19.5" customHeight="1">
      <c r="B26" s="929"/>
      <c r="C26" s="318" t="s">
        <v>682</v>
      </c>
      <c r="D26" s="318" t="s">
        <v>686</v>
      </c>
      <c r="E26" s="318" t="s">
        <v>687</v>
      </c>
      <c r="F26" s="318" t="s">
        <v>688</v>
      </c>
      <c r="G26" s="326" t="s">
        <v>689</v>
      </c>
      <c r="H26" s="972"/>
      <c r="I26" s="974" t="s">
        <v>167</v>
      </c>
      <c r="J26" s="974" t="s">
        <v>168</v>
      </c>
      <c r="K26" s="123"/>
    </row>
    <row r="27" spans="1:24" ht="105.75" customHeight="1" thickBot="1">
      <c r="B27" s="942"/>
      <c r="C27" s="321" t="s">
        <v>683</v>
      </c>
      <c r="D27" s="321" t="s">
        <v>6</v>
      </c>
      <c r="E27" s="321" t="s">
        <v>7</v>
      </c>
      <c r="F27" s="321" t="s">
        <v>8</v>
      </c>
      <c r="G27" s="327" t="s">
        <v>736</v>
      </c>
      <c r="H27" s="973"/>
      <c r="I27" s="975"/>
      <c r="J27" s="975"/>
      <c r="K27" s="123"/>
    </row>
    <row r="28" spans="1:24" ht="30" customHeight="1" thickTop="1">
      <c r="B28" s="573" t="str">
        <f>B22</f>
        <v>令和４年度</v>
      </c>
      <c r="C28" s="487">
        <v>118903</v>
      </c>
      <c r="D28" s="540">
        <v>24957366</v>
      </c>
      <c r="E28" s="482">
        <v>3830935</v>
      </c>
      <c r="F28" s="482">
        <v>701660</v>
      </c>
      <c r="G28" s="484"/>
      <c r="H28" s="329" t="str">
        <f>$B$22</f>
        <v>令和４年度</v>
      </c>
      <c r="I28" s="85">
        <f>IF((D28+E28+F28-K22-L22-C28)=0,"-",(C22+D22+E22+F22+G22+H22+I22-J22-K22-L22-C28)/(D28+E28+F28-K22-L22-C28)*100)</f>
        <v>2.5774382881831834</v>
      </c>
      <c r="J28" s="969">
        <f>IF(OR(I28="-",I29="-",I30="-")=TRUE,"-",ROUNDDOWN((I28+I29+I30)/3,1))</f>
        <v>4.0999999999999996</v>
      </c>
      <c r="K28" s="1"/>
    </row>
    <row r="29" spans="1:24" ht="30" customHeight="1">
      <c r="B29" s="574" t="str">
        <f t="shared" ref="B29:B30" si="0">B23</f>
        <v>令和５年度</v>
      </c>
      <c r="C29" s="487">
        <v>124270</v>
      </c>
      <c r="D29" s="482">
        <v>25745320</v>
      </c>
      <c r="E29" s="482">
        <v>4384641</v>
      </c>
      <c r="F29" s="482">
        <v>323937</v>
      </c>
      <c r="G29" s="484"/>
      <c r="H29" s="330" t="str">
        <f>$B$23</f>
        <v>令和５年度</v>
      </c>
      <c r="I29" s="86">
        <f>IF((D29+E29+F29-K23-L23-C29)=0,"-",(C23+D23+E23+F23+G23+H23+I23-J23-K23-L23-C29)/(D29+E29+F29-K23-L23-C29)*100)</f>
        <v>4.4823687170071587</v>
      </c>
      <c r="J29" s="970"/>
      <c r="K29" s="1"/>
    </row>
    <row r="30" spans="1:24" ht="30" customHeight="1" thickBot="1">
      <c r="B30" s="351" t="str">
        <f t="shared" si="0"/>
        <v>令和６年度</v>
      </c>
      <c r="C30" s="488">
        <v>147591</v>
      </c>
      <c r="D30" s="483">
        <v>26080330</v>
      </c>
      <c r="E30" s="483">
        <v>5172482</v>
      </c>
      <c r="F30" s="483">
        <v>165173</v>
      </c>
      <c r="G30" s="770"/>
      <c r="H30" s="331" t="str">
        <f>$B$24</f>
        <v>令和６年度</v>
      </c>
      <c r="I30" s="575">
        <f>IF((D30+E30+F30-K24-L24-C30)=0,"-",(C24+D24+E24+F24+G24+H24+I24-J24-K24-L24-C30)/(D30+E30+F30-K24-L24-C30)*100)</f>
        <v>5.2840655824104106</v>
      </c>
      <c r="J30" s="971"/>
      <c r="K30" s="1"/>
    </row>
    <row r="31" spans="1:24" ht="9" customHeight="1">
      <c r="B31" s="314"/>
      <c r="C31" s="98"/>
      <c r="D31" s="98"/>
      <c r="E31" s="98"/>
      <c r="F31" s="98"/>
      <c r="G31" s="98"/>
      <c r="H31" s="98"/>
      <c r="I31" s="98"/>
      <c r="J31" s="98"/>
      <c r="K31" s="98"/>
      <c r="L31" s="98"/>
      <c r="M31" s="98"/>
      <c r="N31" s="98"/>
      <c r="O31" s="98"/>
      <c r="P31" s="98"/>
      <c r="Q31" s="98"/>
      <c r="S31" s="332"/>
    </row>
    <row r="32" spans="1:24" ht="9" customHeight="1">
      <c r="B32" s="314"/>
      <c r="C32" s="98"/>
      <c r="D32" s="98"/>
      <c r="E32" s="98"/>
      <c r="F32" s="98"/>
      <c r="G32" s="98"/>
      <c r="H32" s="98"/>
      <c r="I32" s="98"/>
      <c r="J32" s="98"/>
      <c r="K32" s="98"/>
      <c r="L32" s="98"/>
      <c r="M32" s="98"/>
      <c r="N32" s="98"/>
      <c r="O32" s="98"/>
      <c r="P32" s="98"/>
      <c r="Q32" s="98"/>
      <c r="S32" s="332"/>
    </row>
    <row r="33" spans="2:19" ht="18" customHeight="1" thickBot="1">
      <c r="B33" s="101" t="s">
        <v>9</v>
      </c>
      <c r="C33" s="98"/>
      <c r="D33" s="333"/>
      <c r="E33" s="98"/>
      <c r="F33" s="98"/>
      <c r="G33" s="98"/>
      <c r="H33" s="98"/>
      <c r="I33" s="98"/>
      <c r="J33" s="98"/>
      <c r="K33" s="334"/>
      <c r="L33" s="98"/>
      <c r="M33" s="98"/>
      <c r="N33" s="98"/>
      <c r="O33" s="98"/>
      <c r="P33" s="98"/>
      <c r="Q33" s="98"/>
      <c r="S33" s="332"/>
    </row>
    <row r="34" spans="2:19" ht="15.75" customHeight="1">
      <c r="B34" s="934"/>
      <c r="C34" s="932" t="s">
        <v>10</v>
      </c>
      <c r="D34" s="938" t="s">
        <v>337</v>
      </c>
      <c r="E34" s="938" t="s">
        <v>187</v>
      </c>
      <c r="F34" s="961" t="s">
        <v>23</v>
      </c>
      <c r="G34" s="963" t="s">
        <v>12</v>
      </c>
      <c r="H34" s="335"/>
      <c r="I34" s="335"/>
      <c r="J34" s="335"/>
      <c r="K34" s="335"/>
      <c r="L34" s="647"/>
      <c r="M34" s="232"/>
      <c r="N34" s="98"/>
      <c r="O34" s="98"/>
      <c r="P34" s="98"/>
      <c r="Q34" s="98"/>
      <c r="S34" s="332"/>
    </row>
    <row r="35" spans="2:19" s="337" customFormat="1" ht="46.5" customHeight="1">
      <c r="B35" s="935"/>
      <c r="C35" s="933"/>
      <c r="D35" s="939"/>
      <c r="E35" s="939"/>
      <c r="F35" s="962"/>
      <c r="G35" s="964"/>
      <c r="H35" s="232"/>
      <c r="I35" s="336"/>
      <c r="J35" s="232"/>
      <c r="K35" s="232"/>
      <c r="L35" s="647"/>
      <c r="M35" s="232"/>
      <c r="N35" s="232"/>
      <c r="O35" s="232"/>
      <c r="P35" s="232"/>
      <c r="Q35" s="232"/>
      <c r="S35" s="338"/>
    </row>
    <row r="36" spans="2:19" ht="15.75" customHeight="1" thickBot="1">
      <c r="B36" s="943"/>
      <c r="C36" s="339" t="s">
        <v>32</v>
      </c>
      <c r="D36" s="340" t="s">
        <v>33</v>
      </c>
      <c r="E36" s="340" t="s">
        <v>34</v>
      </c>
      <c r="F36" s="340" t="s">
        <v>13</v>
      </c>
      <c r="G36" s="95" t="s">
        <v>35</v>
      </c>
      <c r="H36" s="341"/>
      <c r="I36" s="314"/>
      <c r="J36" s="341"/>
      <c r="K36" s="588"/>
      <c r="L36" s="647"/>
      <c r="M36" s="96"/>
      <c r="N36" s="98"/>
      <c r="O36" s="98"/>
      <c r="P36" s="98"/>
      <c r="Q36" s="98"/>
      <c r="S36" s="332"/>
    </row>
    <row r="37" spans="2:19" ht="20.100000000000001" customHeight="1">
      <c r="B37" s="329" t="str">
        <f>$B$22</f>
        <v>令和４年度</v>
      </c>
      <c r="C37" s="485">
        <v>4230171</v>
      </c>
      <c r="D37" s="486"/>
      <c r="E37" s="486"/>
      <c r="F37" s="486"/>
      <c r="G37" s="97">
        <f>C37-D37-E37-F37</f>
        <v>4230171</v>
      </c>
      <c r="H37" s="98"/>
      <c r="I37" s="98"/>
      <c r="J37" s="98"/>
      <c r="K37" s="98"/>
      <c r="L37" s="98"/>
      <c r="M37" s="98"/>
      <c r="N37" s="98"/>
      <c r="O37" s="98"/>
      <c r="P37" s="98"/>
      <c r="Q37" s="98"/>
      <c r="S37" s="332"/>
    </row>
    <row r="38" spans="2:19" ht="20.100000000000001" customHeight="1">
      <c r="B38" s="330" t="str">
        <f>$B$23</f>
        <v>令和５年度</v>
      </c>
      <c r="C38" s="487">
        <v>4879798</v>
      </c>
      <c r="D38" s="482"/>
      <c r="E38" s="482"/>
      <c r="F38" s="482"/>
      <c r="G38" s="99">
        <f>C38-D38-E38-F38</f>
        <v>4879798</v>
      </c>
      <c r="H38" s="98"/>
      <c r="I38" s="98"/>
      <c r="J38" s="98"/>
      <c r="K38" s="98"/>
      <c r="L38" s="98"/>
      <c r="M38" s="98"/>
      <c r="N38" s="98"/>
      <c r="O38" s="98"/>
      <c r="P38" s="98"/>
      <c r="Q38" s="98"/>
      <c r="S38" s="332"/>
    </row>
    <row r="39" spans="2:19" ht="20.100000000000001" customHeight="1" thickBot="1">
      <c r="B39" s="331" t="str">
        <f>$B$24</f>
        <v>令和６年度</v>
      </c>
      <c r="C39" s="488">
        <v>5012890</v>
      </c>
      <c r="D39" s="483"/>
      <c r="E39" s="483"/>
      <c r="F39" s="483"/>
      <c r="G39" s="100">
        <f>C39-D39-E39-F39</f>
        <v>5012890</v>
      </c>
      <c r="H39" s="98"/>
      <c r="I39" s="98"/>
      <c r="J39" s="98"/>
      <c r="K39" s="98"/>
      <c r="L39" s="98"/>
      <c r="M39" s="98"/>
      <c r="N39" s="98"/>
      <c r="O39" s="98"/>
      <c r="P39" s="98"/>
      <c r="Q39" s="98"/>
      <c r="S39" s="332"/>
    </row>
    <row r="40" spans="2:19" ht="8.25" customHeight="1">
      <c r="B40" s="342"/>
      <c r="C40" s="98"/>
      <c r="D40" s="98"/>
      <c r="E40" s="98"/>
      <c r="F40" s="98"/>
      <c r="G40" s="98"/>
      <c r="H40" s="98"/>
      <c r="I40" s="98"/>
      <c r="J40" s="98"/>
      <c r="K40" s="98"/>
      <c r="L40" s="98"/>
      <c r="M40" s="98"/>
      <c r="N40" s="98"/>
      <c r="O40" s="98"/>
      <c r="P40" s="98"/>
      <c r="Q40" s="98"/>
      <c r="S40" s="332"/>
    </row>
    <row r="41" spans="2:19" ht="18" customHeight="1" thickBot="1">
      <c r="B41" s="101" t="s">
        <v>714</v>
      </c>
      <c r="C41" s="98"/>
      <c r="D41" s="98"/>
      <c r="E41" s="98"/>
      <c r="F41" s="98"/>
      <c r="G41" s="98"/>
      <c r="H41" s="333"/>
      <c r="I41" s="98"/>
      <c r="J41" s="98"/>
      <c r="K41" s="98"/>
      <c r="L41" s="98"/>
      <c r="M41" s="98"/>
      <c r="N41" s="98"/>
      <c r="O41" s="98"/>
      <c r="P41" s="98"/>
      <c r="Q41" s="98"/>
      <c r="S41" s="332"/>
    </row>
    <row r="42" spans="2:19" ht="30" customHeight="1" thickBot="1">
      <c r="B42" s="102" t="s">
        <v>226</v>
      </c>
      <c r="C42" s="343" t="s">
        <v>221</v>
      </c>
      <c r="D42" s="344" t="s">
        <v>222</v>
      </c>
      <c r="E42" s="344" t="s">
        <v>223</v>
      </c>
      <c r="F42" s="344" t="s">
        <v>224</v>
      </c>
      <c r="G42" s="124" t="s">
        <v>225</v>
      </c>
      <c r="H42" s="98"/>
      <c r="I42" s="98"/>
      <c r="J42" s="98"/>
      <c r="K42" s="98"/>
      <c r="L42" s="98"/>
      <c r="M42" s="98"/>
      <c r="N42" s="98"/>
      <c r="O42" s="98"/>
      <c r="P42" s="98"/>
      <c r="Q42" s="98"/>
      <c r="S42" s="332"/>
    </row>
    <row r="43" spans="2:19" ht="24.75" customHeight="1">
      <c r="B43" s="328" t="str">
        <f>$B$22</f>
        <v>令和４年度</v>
      </c>
      <c r="C43" s="534">
        <v>389</v>
      </c>
      <c r="D43" s="535">
        <v>212978</v>
      </c>
      <c r="E43" s="535">
        <v>789925</v>
      </c>
      <c r="F43" s="535">
        <v>16965</v>
      </c>
      <c r="G43" s="125">
        <f>SUM(C43:F43)</f>
        <v>1020257</v>
      </c>
      <c r="H43" s="345"/>
      <c r="I43" s="98"/>
      <c r="J43" s="98"/>
      <c r="K43" s="98"/>
      <c r="L43" s="98"/>
      <c r="M43" s="98"/>
      <c r="N43" s="98"/>
      <c r="O43" s="98"/>
      <c r="P43" s="98"/>
      <c r="Q43" s="98"/>
      <c r="S43" s="332"/>
    </row>
    <row r="44" spans="2:19" ht="20.100000000000001" customHeight="1">
      <c r="B44" s="330" t="str">
        <f>$B$23</f>
        <v>令和５年度</v>
      </c>
      <c r="C44" s="536">
        <v>349</v>
      </c>
      <c r="D44" s="537">
        <v>303431</v>
      </c>
      <c r="E44" s="537">
        <v>781276</v>
      </c>
      <c r="F44" s="537">
        <v>13578</v>
      </c>
      <c r="G44" s="126">
        <f>SUM(C44:F44)</f>
        <v>1098634</v>
      </c>
      <c r="H44" s="345"/>
      <c r="I44" s="98"/>
      <c r="J44" s="98"/>
      <c r="K44" s="98"/>
      <c r="L44" s="98"/>
      <c r="M44" s="98"/>
      <c r="N44" s="98"/>
      <c r="O44" s="98"/>
      <c r="P44" s="98"/>
      <c r="Q44" s="98"/>
      <c r="S44" s="332"/>
    </row>
    <row r="45" spans="2:19" ht="20.100000000000001" customHeight="1" thickBot="1">
      <c r="B45" s="331" t="str">
        <f>$B$24</f>
        <v>令和６年度</v>
      </c>
      <c r="C45" s="771">
        <v>247</v>
      </c>
      <c r="D45" s="772">
        <v>371879</v>
      </c>
      <c r="E45" s="772">
        <v>814324</v>
      </c>
      <c r="F45" s="772">
        <v>66778</v>
      </c>
      <c r="G45" s="127">
        <f>SUM(C45:F45)</f>
        <v>1253228</v>
      </c>
      <c r="H45" s="345"/>
      <c r="I45" s="98"/>
      <c r="J45" s="98"/>
      <c r="K45" s="98"/>
      <c r="L45" s="98"/>
      <c r="M45" s="98"/>
      <c r="N45" s="98"/>
      <c r="O45" s="98"/>
      <c r="P45" s="98"/>
      <c r="Q45" s="98"/>
      <c r="S45" s="332"/>
    </row>
    <row r="46" spans="2:19" ht="8.25" customHeight="1">
      <c r="B46" s="314"/>
      <c r="C46" s="98"/>
      <c r="D46" s="98"/>
      <c r="E46" s="98"/>
      <c r="F46" s="98"/>
      <c r="G46" s="98"/>
      <c r="H46" s="98"/>
      <c r="I46" s="98"/>
      <c r="J46" s="98"/>
      <c r="K46" s="98"/>
      <c r="L46" s="98"/>
      <c r="M46" s="98"/>
      <c r="N46" s="98"/>
      <c r="O46" s="98"/>
      <c r="P46" s="98"/>
      <c r="Q46" s="98"/>
      <c r="S46" s="332"/>
    </row>
    <row r="47" spans="2:19" ht="18" customHeight="1" thickBot="1">
      <c r="B47" s="101" t="s">
        <v>517</v>
      </c>
      <c r="C47" s="98"/>
      <c r="D47" s="98"/>
      <c r="E47" s="98"/>
      <c r="F47" s="98"/>
      <c r="G47" s="98"/>
      <c r="H47" s="98"/>
      <c r="I47" s="98"/>
      <c r="J47" s="98"/>
      <c r="K47" s="98"/>
      <c r="L47" s="98"/>
      <c r="M47" s="98"/>
      <c r="N47" s="98"/>
      <c r="O47" s="98"/>
      <c r="P47" s="98"/>
      <c r="Q47" s="98"/>
      <c r="S47" s="332"/>
    </row>
    <row r="48" spans="2:19" ht="117.75" customHeight="1" thickBot="1">
      <c r="B48" s="346"/>
      <c r="C48" s="347" t="s">
        <v>169</v>
      </c>
      <c r="D48" s="348" t="s">
        <v>170</v>
      </c>
      <c r="E48" s="349" t="s">
        <v>171</v>
      </c>
      <c r="F48" s="348" t="s">
        <v>172</v>
      </c>
      <c r="G48" s="348" t="s">
        <v>173</v>
      </c>
      <c r="H48" s="348" t="s">
        <v>729</v>
      </c>
      <c r="I48" s="350" t="s">
        <v>456</v>
      </c>
      <c r="J48" s="102" t="s">
        <v>183</v>
      </c>
    </row>
    <row r="49" spans="2:19" ht="20.100000000000001" customHeight="1">
      <c r="B49" s="329" t="str">
        <f>$B$22</f>
        <v>令和４年度</v>
      </c>
      <c r="C49" s="489"/>
      <c r="D49" s="486"/>
      <c r="E49" s="486"/>
      <c r="F49" s="486"/>
      <c r="G49" s="486">
        <v>276</v>
      </c>
      <c r="H49" s="486">
        <v>53300</v>
      </c>
      <c r="I49" s="532">
        <v>352</v>
      </c>
      <c r="J49" s="103">
        <f>SUM(C49:I49)</f>
        <v>53928</v>
      </c>
      <c r="K49" s="325"/>
    </row>
    <row r="50" spans="2:19" ht="20.100000000000001" customHeight="1">
      <c r="B50" s="330" t="str">
        <f>$B$23</f>
        <v>令和５年度</v>
      </c>
      <c r="C50" s="481"/>
      <c r="D50" s="482"/>
      <c r="E50" s="482"/>
      <c r="F50" s="482"/>
      <c r="G50" s="482"/>
      <c r="H50" s="482">
        <v>26375</v>
      </c>
      <c r="I50" s="533">
        <v>429</v>
      </c>
      <c r="J50" s="104">
        <f>SUM(C50:I50)</f>
        <v>26804</v>
      </c>
    </row>
    <row r="51" spans="2:19" ht="20.100000000000001" customHeight="1" thickBot="1">
      <c r="B51" s="351" t="str">
        <f>B24</f>
        <v>令和６年度</v>
      </c>
      <c r="C51" s="767"/>
      <c r="D51" s="483"/>
      <c r="E51" s="483"/>
      <c r="F51" s="483"/>
      <c r="G51" s="483"/>
      <c r="H51" s="483">
        <v>26334</v>
      </c>
      <c r="I51" s="769">
        <v>581</v>
      </c>
      <c r="J51" s="105">
        <f>SUM(C51:I51)</f>
        <v>26915</v>
      </c>
    </row>
    <row r="52" spans="2:19" ht="8.25" customHeight="1">
      <c r="B52" s="342"/>
      <c r="C52" s="98"/>
      <c r="D52" s="98"/>
      <c r="E52" s="98"/>
      <c r="F52" s="98"/>
      <c r="G52" s="98"/>
      <c r="H52" s="98"/>
      <c r="I52" s="98"/>
      <c r="J52" s="128"/>
    </row>
    <row r="53" spans="2:19" ht="18" customHeight="1" thickBot="1">
      <c r="B53" s="101" t="s">
        <v>15</v>
      </c>
      <c r="C53" s="98"/>
      <c r="D53" s="333"/>
      <c r="E53" s="98"/>
      <c r="F53" s="98"/>
      <c r="G53" s="98"/>
      <c r="H53" s="98"/>
      <c r="I53" s="98"/>
      <c r="J53" s="98"/>
      <c r="K53" s="334"/>
      <c r="L53" s="98"/>
      <c r="M53" s="98"/>
      <c r="N53" s="98"/>
      <c r="O53" s="98"/>
      <c r="P53" s="98"/>
      <c r="Q53" s="98"/>
      <c r="S53" s="332"/>
    </row>
    <row r="54" spans="2:19" ht="15.75" customHeight="1">
      <c r="B54" s="934"/>
      <c r="C54" s="932" t="s">
        <v>19</v>
      </c>
      <c r="D54" s="936" t="s">
        <v>20</v>
      </c>
      <c r="E54" s="938" t="s">
        <v>21</v>
      </c>
      <c r="F54" s="936" t="s">
        <v>16</v>
      </c>
      <c r="G54" s="966" t="s">
        <v>17</v>
      </c>
      <c r="H54" s="963" t="s">
        <v>18</v>
      </c>
      <c r="I54" s="335"/>
      <c r="J54" s="335"/>
      <c r="K54" s="335"/>
      <c r="L54" s="968"/>
      <c r="M54" s="232"/>
      <c r="N54" s="98"/>
      <c r="O54" s="98"/>
      <c r="P54" s="98"/>
      <c r="Q54" s="98"/>
      <c r="S54" s="332"/>
    </row>
    <row r="55" spans="2:19" s="337" customFormat="1" ht="44.25" customHeight="1" thickBot="1">
      <c r="B55" s="935"/>
      <c r="C55" s="933"/>
      <c r="D55" s="937"/>
      <c r="E55" s="939"/>
      <c r="F55" s="965"/>
      <c r="G55" s="967"/>
      <c r="H55" s="964"/>
      <c r="I55" s="336"/>
      <c r="J55" s="232"/>
      <c r="K55" s="232"/>
      <c r="L55" s="968"/>
      <c r="M55" s="232"/>
      <c r="N55" s="232"/>
      <c r="O55" s="232"/>
      <c r="P55" s="232"/>
      <c r="Q55" s="232"/>
      <c r="S55" s="338"/>
    </row>
    <row r="56" spans="2:19" ht="20.100000000000001" customHeight="1">
      <c r="B56" s="329" t="str">
        <f>$B$22</f>
        <v>令和４年度</v>
      </c>
      <c r="C56" s="485"/>
      <c r="D56" s="486"/>
      <c r="E56" s="486">
        <v>41946</v>
      </c>
      <c r="F56" s="486">
        <v>655239</v>
      </c>
      <c r="G56" s="486">
        <v>1777</v>
      </c>
      <c r="H56" s="97">
        <f>C56+D56+E56+F56+G56</f>
        <v>698962</v>
      </c>
      <c r="I56" s="98"/>
      <c r="J56" s="98"/>
      <c r="K56" s="98"/>
      <c r="L56" s="106"/>
      <c r="M56" s="98"/>
      <c r="N56" s="98"/>
      <c r="O56" s="98"/>
      <c r="P56" s="106"/>
      <c r="Q56" s="98"/>
      <c r="S56" s="332"/>
    </row>
    <row r="57" spans="2:19" ht="20.100000000000001" customHeight="1">
      <c r="B57" s="330" t="str">
        <f>$B$23</f>
        <v>令和５年度</v>
      </c>
      <c r="C57" s="487"/>
      <c r="D57" s="482"/>
      <c r="E57" s="482">
        <v>41946</v>
      </c>
      <c r="F57" s="482">
        <v>588243</v>
      </c>
      <c r="G57" s="482">
        <v>1777</v>
      </c>
      <c r="H57" s="99">
        <f>C57+D57+E57+F57+G57</f>
        <v>631966</v>
      </c>
      <c r="I57" s="98"/>
      <c r="J57" s="98"/>
      <c r="K57" s="98"/>
      <c r="L57" s="98"/>
      <c r="M57" s="98"/>
      <c r="N57" s="98"/>
      <c r="O57" s="98"/>
      <c r="P57" s="98"/>
      <c r="Q57" s="98"/>
      <c r="S57" s="332"/>
    </row>
    <row r="58" spans="2:19" ht="20.100000000000001" customHeight="1" thickBot="1">
      <c r="B58" s="331" t="str">
        <f>$B$24</f>
        <v>令和６年度</v>
      </c>
      <c r="C58" s="488"/>
      <c r="D58" s="483"/>
      <c r="E58" s="773">
        <v>38558</v>
      </c>
      <c r="F58" s="773">
        <v>587019</v>
      </c>
      <c r="G58" s="483">
        <v>70876</v>
      </c>
      <c r="H58" s="100">
        <f>C58+D58+E58+F58+G58</f>
        <v>696453</v>
      </c>
      <c r="I58" s="98"/>
      <c r="J58" s="98"/>
      <c r="K58" s="98"/>
      <c r="L58" s="98"/>
      <c r="M58" s="98"/>
      <c r="N58" s="98"/>
      <c r="O58" s="98"/>
      <c r="P58" s="98"/>
      <c r="Q58" s="98"/>
      <c r="S58" s="332"/>
    </row>
    <row r="59" spans="2:19" ht="8.25" customHeight="1">
      <c r="B59" s="314"/>
      <c r="C59" s="98"/>
      <c r="D59" s="98"/>
      <c r="E59" s="98"/>
      <c r="F59" s="98"/>
      <c r="G59" s="98"/>
      <c r="H59" s="98"/>
      <c r="I59" s="98"/>
      <c r="J59" s="98"/>
      <c r="K59" s="98"/>
      <c r="L59" s="98"/>
      <c r="M59" s="98"/>
      <c r="N59" s="98"/>
      <c r="O59" s="98"/>
      <c r="P59" s="98"/>
      <c r="Q59" s="98"/>
      <c r="S59" s="332"/>
    </row>
    <row r="60" spans="2:19" ht="18" customHeight="1" thickBot="1">
      <c r="B60" s="101" t="s">
        <v>22</v>
      </c>
      <c r="C60" s="98"/>
      <c r="D60" s="333"/>
      <c r="E60" s="98"/>
      <c r="F60" s="98"/>
      <c r="G60" s="98"/>
      <c r="H60" s="98"/>
      <c r="I60" s="98"/>
      <c r="J60" s="98"/>
      <c r="K60" s="98"/>
      <c r="L60" s="98"/>
      <c r="M60" s="98"/>
      <c r="N60" s="98"/>
      <c r="O60" s="98"/>
      <c r="P60" s="98"/>
      <c r="Q60" s="98"/>
      <c r="S60" s="332"/>
    </row>
    <row r="61" spans="2:19" s="352" customFormat="1" ht="45" customHeight="1">
      <c r="B61" s="926"/>
      <c r="C61" s="353" t="s">
        <v>184</v>
      </c>
      <c r="D61" s="354" t="s">
        <v>185</v>
      </c>
      <c r="E61" s="354" t="s">
        <v>186</v>
      </c>
      <c r="F61" s="355" t="s">
        <v>338</v>
      </c>
      <c r="G61" s="354" t="s">
        <v>783</v>
      </c>
      <c r="H61" s="354" t="s">
        <v>188</v>
      </c>
      <c r="I61" s="354" t="s">
        <v>189</v>
      </c>
      <c r="J61" s="356" t="s">
        <v>190</v>
      </c>
      <c r="K61" s="357" t="s">
        <v>191</v>
      </c>
      <c r="L61" s="107" t="s">
        <v>192</v>
      </c>
      <c r="M61" s="232"/>
      <c r="N61" s="358"/>
      <c r="O61" s="358"/>
      <c r="P61" s="358"/>
      <c r="Q61" s="358"/>
      <c r="S61" s="359"/>
    </row>
    <row r="62" spans="2:19" ht="15.75" customHeight="1" thickBot="1">
      <c r="B62" s="927"/>
      <c r="C62" s="339" t="s">
        <v>429</v>
      </c>
      <c r="D62" s="340" t="s">
        <v>430</v>
      </c>
      <c r="E62" s="340" t="s">
        <v>431</v>
      </c>
      <c r="F62" s="340" t="s">
        <v>432</v>
      </c>
      <c r="G62" s="340" t="s">
        <v>433</v>
      </c>
      <c r="H62" s="340" t="s">
        <v>434</v>
      </c>
      <c r="I62" s="340" t="s">
        <v>435</v>
      </c>
      <c r="J62" s="340" t="s">
        <v>436</v>
      </c>
      <c r="K62" s="360" t="s">
        <v>437</v>
      </c>
      <c r="L62" s="108" t="s">
        <v>438</v>
      </c>
      <c r="M62" s="109"/>
      <c r="N62" s="98"/>
      <c r="O62" s="98"/>
      <c r="P62" s="98"/>
      <c r="Q62" s="98"/>
      <c r="S62" s="332"/>
    </row>
    <row r="63" spans="2:19" ht="20.100000000000001" customHeight="1">
      <c r="B63" s="329" t="str">
        <f>$B$22</f>
        <v>令和４年度</v>
      </c>
      <c r="C63" s="545">
        <v>78795</v>
      </c>
      <c r="D63" s="486">
        <v>288472</v>
      </c>
      <c r="E63" s="486">
        <v>200252</v>
      </c>
      <c r="F63" s="486">
        <v>707758</v>
      </c>
      <c r="G63" s="486"/>
      <c r="H63" s="486">
        <v>15650</v>
      </c>
      <c r="I63" s="486"/>
      <c r="J63" s="486">
        <v>908973</v>
      </c>
      <c r="K63" s="361">
        <f>SUM(C63:G63)-SUM(H63:J63)</f>
        <v>350654</v>
      </c>
      <c r="L63" s="97">
        <f>(E63+F63+G63-I63)*J63/(J63+K63)</f>
        <v>655238.87129285093</v>
      </c>
      <c r="M63" s="98"/>
      <c r="N63" s="98"/>
      <c r="O63" s="98"/>
      <c r="P63" s="98"/>
      <c r="Q63" s="98"/>
      <c r="S63" s="332"/>
    </row>
    <row r="64" spans="2:19" ht="20.100000000000001" customHeight="1">
      <c r="B64" s="330" t="str">
        <f>$B$23</f>
        <v>令和５年度</v>
      </c>
      <c r="C64" s="546">
        <v>32663</v>
      </c>
      <c r="D64" s="482">
        <v>476352</v>
      </c>
      <c r="E64" s="482">
        <v>170139</v>
      </c>
      <c r="F64" s="482">
        <v>700368</v>
      </c>
      <c r="G64" s="482"/>
      <c r="H64" s="482">
        <v>28478</v>
      </c>
      <c r="I64" s="482"/>
      <c r="J64" s="482">
        <v>912964</v>
      </c>
      <c r="K64" s="362">
        <f>SUM(C64:G64)-SUM(H64:J64)</f>
        <v>438080</v>
      </c>
      <c r="L64" s="99">
        <f>(E64+F64+G64-I64)*J64/(J64+K64)</f>
        <v>588242.53891657118</v>
      </c>
      <c r="M64" s="98"/>
      <c r="N64" s="98"/>
      <c r="O64" s="98"/>
      <c r="P64" s="98"/>
      <c r="Q64" s="98"/>
      <c r="S64" s="332"/>
    </row>
    <row r="65" spans="2:19" ht="20.100000000000001" customHeight="1" thickBot="1">
      <c r="B65" s="331" t="str">
        <f>$B$24</f>
        <v>令和６年度</v>
      </c>
      <c r="C65" s="774">
        <v>44361</v>
      </c>
      <c r="D65" s="483">
        <v>466227</v>
      </c>
      <c r="E65" s="483">
        <v>120929</v>
      </c>
      <c r="F65" s="483">
        <v>733380</v>
      </c>
      <c r="G65" s="483"/>
      <c r="H65" s="483">
        <v>31945</v>
      </c>
      <c r="I65" s="483"/>
      <c r="J65" s="483">
        <v>915908</v>
      </c>
      <c r="K65" s="363">
        <f>SUM(C65:G65)-SUM(H65:J65)</f>
        <v>417044</v>
      </c>
      <c r="L65" s="100">
        <f>(E65+F65+G65-I65)*J65/(J65+K65)</f>
        <v>587019.22317682859</v>
      </c>
      <c r="M65" s="98"/>
      <c r="N65" s="98"/>
      <c r="O65" s="98"/>
      <c r="P65" s="98"/>
      <c r="Q65" s="98"/>
      <c r="S65" s="332"/>
    </row>
    <row r="66" spans="2:19" ht="8.25" customHeight="1">
      <c r="B66" s="314"/>
      <c r="C66" s="98"/>
      <c r="D66" s="98"/>
      <c r="E66" s="98"/>
      <c r="F66" s="98"/>
      <c r="G66" s="98"/>
      <c r="H66" s="98"/>
      <c r="I66" s="98"/>
      <c r="J66" s="98"/>
      <c r="K66" s="98"/>
      <c r="L66" s="98"/>
      <c r="M66" s="98"/>
      <c r="N66" s="98"/>
      <c r="O66" s="98"/>
      <c r="P66" s="98"/>
      <c r="Q66" s="98"/>
      <c r="S66" s="332"/>
    </row>
    <row r="69" spans="2:19" s="115" customFormat="1" ht="6" customHeight="1">
      <c r="B69" s="226"/>
      <c r="C69" s="226"/>
      <c r="D69" s="266"/>
      <c r="E69" s="116"/>
      <c r="F69" s="116"/>
      <c r="G69" s="116"/>
      <c r="H69" s="116"/>
      <c r="I69" s="116"/>
      <c r="J69" s="116"/>
      <c r="K69" s="116"/>
      <c r="L69" s="116"/>
      <c r="M69" s="116"/>
    </row>
    <row r="70" spans="2:19" s="115" customFormat="1" ht="15" customHeight="1">
      <c r="B70" s="111" t="s">
        <v>115</v>
      </c>
      <c r="C70" s="112"/>
      <c r="D70" s="113"/>
      <c r="E70" s="114"/>
      <c r="F70" s="114"/>
      <c r="G70" s="114"/>
      <c r="H70" s="114"/>
      <c r="I70" s="114"/>
      <c r="J70" s="114"/>
      <c r="K70" s="114"/>
      <c r="L70" s="114"/>
      <c r="M70" s="114"/>
    </row>
    <row r="71" spans="2:19" s="115" customFormat="1" ht="15.75" customHeight="1">
      <c r="B71" s="112"/>
      <c r="C71" s="941" t="s">
        <v>178</v>
      </c>
      <c r="D71" s="941"/>
      <c r="E71" s="955" t="s">
        <v>339</v>
      </c>
      <c r="F71" s="955"/>
      <c r="G71" s="955"/>
      <c r="H71" s="955"/>
      <c r="I71" s="955"/>
      <c r="J71" s="955"/>
      <c r="K71" s="955"/>
      <c r="L71" s="955"/>
      <c r="M71" s="116"/>
      <c r="N71" s="117"/>
    </row>
    <row r="72" spans="2:19" s="115" customFormat="1" ht="15.75" customHeight="1">
      <c r="B72" s="112"/>
      <c r="C72" s="941"/>
      <c r="D72" s="941"/>
      <c r="E72" s="944" t="s">
        <v>340</v>
      </c>
      <c r="F72" s="944"/>
      <c r="G72" s="944"/>
      <c r="H72" s="944"/>
      <c r="I72" s="944"/>
      <c r="J72" s="944"/>
      <c r="K72" s="944"/>
      <c r="L72" s="116"/>
      <c r="M72" s="116"/>
      <c r="N72" s="117"/>
      <c r="O72" s="118" t="s">
        <v>679</v>
      </c>
      <c r="P72" s="118" t="s">
        <v>678</v>
      </c>
    </row>
    <row r="73" spans="2:19" s="115" customFormat="1" ht="6" customHeight="1">
      <c r="B73" s="112"/>
      <c r="C73" s="231"/>
      <c r="D73" s="231"/>
      <c r="E73" s="230"/>
      <c r="F73" s="230"/>
      <c r="G73" s="230"/>
      <c r="H73" s="230"/>
      <c r="I73" s="230"/>
      <c r="J73" s="230"/>
      <c r="K73" s="230"/>
      <c r="L73" s="116"/>
      <c r="M73" s="116"/>
      <c r="N73" s="117"/>
    </row>
    <row r="74" spans="2:19" s="115" customFormat="1" ht="15.75" customHeight="1">
      <c r="B74" s="112"/>
      <c r="C74" s="231"/>
      <c r="D74" s="952" t="s">
        <v>96</v>
      </c>
      <c r="E74" s="953" t="s">
        <v>685</v>
      </c>
      <c r="F74" s="953"/>
      <c r="G74" s="953"/>
      <c r="H74" s="945" t="s">
        <v>96</v>
      </c>
      <c r="I74" s="307">
        <f>I8</f>
        <v>1440539</v>
      </c>
      <c r="J74" s="945" t="s">
        <v>96</v>
      </c>
      <c r="K74" s="960">
        <f>I74/I75*100</f>
        <v>5.2840655824104106</v>
      </c>
      <c r="L74" s="983" t="s">
        <v>837</v>
      </c>
      <c r="M74" s="308"/>
      <c r="N74" s="117"/>
      <c r="O74" s="307">
        <v>653698</v>
      </c>
      <c r="P74" s="307">
        <f>I74-O74</f>
        <v>786841</v>
      </c>
      <c r="Q74" s="958"/>
      <c r="R74" s="959"/>
    </row>
    <row r="75" spans="2:19" s="115" customFormat="1" ht="15.75" customHeight="1">
      <c r="B75" s="112"/>
      <c r="C75" s="231"/>
      <c r="D75" s="952"/>
      <c r="E75" s="954" t="s">
        <v>691</v>
      </c>
      <c r="F75" s="954"/>
      <c r="G75" s="954"/>
      <c r="H75" s="945"/>
      <c r="I75" s="122">
        <f>I9</f>
        <v>27261944</v>
      </c>
      <c r="J75" s="945"/>
      <c r="K75" s="960"/>
      <c r="L75" s="983"/>
      <c r="M75" s="308"/>
      <c r="N75" s="117"/>
      <c r="O75" s="122">
        <v>23930727</v>
      </c>
      <c r="P75" s="122">
        <f>I75-O75</f>
        <v>3331217</v>
      </c>
      <c r="Q75" s="958"/>
      <c r="R75" s="959"/>
    </row>
    <row r="76" spans="2:19" s="115" customFormat="1" ht="6.75" customHeight="1" thickBot="1">
      <c r="B76" s="112"/>
      <c r="C76" s="231"/>
      <c r="D76" s="231"/>
      <c r="E76" s="230"/>
      <c r="F76" s="230"/>
      <c r="G76" s="230"/>
      <c r="H76" s="230"/>
      <c r="I76" s="230"/>
      <c r="J76" s="230"/>
      <c r="K76" s="230"/>
      <c r="L76" s="116"/>
      <c r="M76" s="116"/>
      <c r="N76" s="117"/>
    </row>
    <row r="77" spans="2:19" s="115" customFormat="1" ht="15.75" customHeight="1">
      <c r="B77" s="112"/>
      <c r="C77" s="231"/>
      <c r="D77" s="931" t="s">
        <v>24</v>
      </c>
      <c r="E77" s="931"/>
      <c r="F77" s="122" t="s">
        <v>96</v>
      </c>
      <c r="G77" s="928" t="s">
        <v>176</v>
      </c>
      <c r="H77" s="928"/>
      <c r="I77" s="122" t="s">
        <v>96</v>
      </c>
      <c r="J77" s="309">
        <f>J11</f>
        <v>5012890</v>
      </c>
      <c r="K77" s="946" t="s">
        <v>210</v>
      </c>
      <c r="L77" s="956" t="s">
        <v>211</v>
      </c>
      <c r="M77" s="119"/>
      <c r="N77" s="117"/>
      <c r="O77" s="114">
        <v>4215404</v>
      </c>
      <c r="P77" s="114">
        <f>J77-O77</f>
        <v>797486</v>
      </c>
    </row>
    <row r="78" spans="2:19" s="115" customFormat="1" ht="15.75" customHeight="1">
      <c r="B78" s="112"/>
      <c r="C78" s="231"/>
      <c r="D78" s="931" t="s">
        <v>174</v>
      </c>
      <c r="E78" s="931"/>
      <c r="F78" s="122" t="s">
        <v>96</v>
      </c>
      <c r="G78" s="928" t="s">
        <v>25</v>
      </c>
      <c r="H78" s="928"/>
      <c r="I78" s="122" t="s">
        <v>96</v>
      </c>
      <c r="J78" s="576">
        <f>J12</f>
        <v>1280143</v>
      </c>
      <c r="K78" s="947"/>
      <c r="L78" s="957"/>
      <c r="M78" s="119"/>
      <c r="N78" s="117"/>
      <c r="O78" s="114">
        <v>1063272</v>
      </c>
      <c r="P78" s="114">
        <f>J78-O78</f>
        <v>216871</v>
      </c>
    </row>
    <row r="79" spans="2:19" s="115" customFormat="1" ht="15.75" customHeight="1">
      <c r="B79" s="112"/>
      <c r="C79" s="231"/>
      <c r="D79" s="931" t="s">
        <v>30</v>
      </c>
      <c r="E79" s="931"/>
      <c r="F79" s="122" t="s">
        <v>96</v>
      </c>
      <c r="G79" s="928" t="s">
        <v>29</v>
      </c>
      <c r="H79" s="928"/>
      <c r="I79" s="122" t="s">
        <v>96</v>
      </c>
      <c r="J79" s="309">
        <f>J13</f>
        <v>696453</v>
      </c>
      <c r="K79" s="977">
        <v>25</v>
      </c>
      <c r="L79" s="980">
        <v>35</v>
      </c>
      <c r="M79" s="119"/>
      <c r="N79" s="117"/>
      <c r="O79" s="115">
        <v>782761</v>
      </c>
      <c r="P79" s="114">
        <f>J79-O79</f>
        <v>-86308</v>
      </c>
    </row>
    <row r="80" spans="2:19" s="115" customFormat="1" ht="15.75" customHeight="1">
      <c r="B80" s="112"/>
      <c r="C80" s="231"/>
      <c r="D80" s="931" t="s">
        <v>175</v>
      </c>
      <c r="E80" s="931"/>
      <c r="F80" s="122" t="s">
        <v>96</v>
      </c>
      <c r="G80" s="928" t="s">
        <v>692</v>
      </c>
      <c r="H80" s="928"/>
      <c r="I80" s="122" t="s">
        <v>96</v>
      </c>
      <c r="J80" s="309">
        <f>J14</f>
        <v>4156041</v>
      </c>
      <c r="K80" s="978"/>
      <c r="L80" s="981"/>
      <c r="M80" s="120"/>
      <c r="N80" s="117"/>
      <c r="O80" s="115">
        <v>3842217</v>
      </c>
      <c r="P80" s="114">
        <f>J80-O80</f>
        <v>313824</v>
      </c>
    </row>
    <row r="81" spans="2:16" s="115" customFormat="1" ht="15.75" customHeight="1" thickBot="1">
      <c r="B81" s="112"/>
      <c r="C81" s="231"/>
      <c r="D81" s="931" t="s">
        <v>177</v>
      </c>
      <c r="E81" s="931"/>
      <c r="F81" s="122" t="s">
        <v>96</v>
      </c>
      <c r="G81" s="928" t="s">
        <v>693</v>
      </c>
      <c r="H81" s="928"/>
      <c r="I81" s="122" t="s">
        <v>96</v>
      </c>
      <c r="J81" s="309">
        <f>J15</f>
        <v>31417985</v>
      </c>
      <c r="K81" s="979"/>
      <c r="L81" s="982"/>
      <c r="M81" s="120"/>
      <c r="N81" s="117"/>
      <c r="O81" s="115">
        <v>27772944</v>
      </c>
      <c r="P81" s="114">
        <f>J81-O81</f>
        <v>3645041</v>
      </c>
    </row>
    <row r="82" spans="2:16" s="115" customFormat="1" ht="12" customHeight="1">
      <c r="B82" s="112"/>
      <c r="C82" s="231"/>
      <c r="D82" s="310"/>
      <c r="E82" s="310"/>
      <c r="F82" s="122"/>
      <c r="G82" s="311"/>
      <c r="H82" s="230"/>
      <c r="I82" s="230"/>
      <c r="J82" s="230"/>
      <c r="K82" s="230"/>
      <c r="L82" s="116"/>
      <c r="M82" s="116"/>
      <c r="N82" s="117"/>
    </row>
    <row r="83" spans="2:16" s="115" customFormat="1" ht="15.75" customHeight="1">
      <c r="B83" s="112"/>
      <c r="C83" s="948" t="s">
        <v>179</v>
      </c>
      <c r="D83" s="948"/>
      <c r="E83" s="949" t="s">
        <v>180</v>
      </c>
      <c r="F83" s="949"/>
      <c r="G83" s="949"/>
      <c r="H83" s="945" t="s">
        <v>96</v>
      </c>
      <c r="I83" s="121">
        <f>I17</f>
        <v>12.343872587600753</v>
      </c>
      <c r="J83" s="945" t="s">
        <v>96</v>
      </c>
      <c r="K83" s="951">
        <f>ROUNDDOWN(I83/I84,1)</f>
        <v>4.0999999999999996</v>
      </c>
      <c r="L83" s="925" t="s">
        <v>181</v>
      </c>
      <c r="M83" s="925"/>
      <c r="N83" s="312"/>
      <c r="O83" s="121">
        <v>14.493482091213837</v>
      </c>
      <c r="P83" s="313">
        <f>I83-O83</f>
        <v>-2.1496095036130836</v>
      </c>
    </row>
    <row r="84" spans="2:16" s="115" customFormat="1" ht="15.75" customHeight="1">
      <c r="B84" s="112"/>
      <c r="C84" s="948"/>
      <c r="D84" s="948"/>
      <c r="E84" s="950">
        <v>3</v>
      </c>
      <c r="F84" s="950"/>
      <c r="G84" s="950"/>
      <c r="H84" s="945"/>
      <c r="I84" s="122">
        <v>3</v>
      </c>
      <c r="J84" s="945"/>
      <c r="K84" s="951"/>
      <c r="L84" s="925"/>
      <c r="M84" s="925"/>
      <c r="N84" s="312"/>
      <c r="O84" s="118">
        <v>3</v>
      </c>
    </row>
    <row r="88" spans="2:16" s="115" customFormat="1" ht="15" customHeight="1">
      <c r="B88" s="111" t="s">
        <v>115</v>
      </c>
      <c r="C88" s="112"/>
      <c r="D88" s="113"/>
      <c r="E88" s="114"/>
      <c r="F88" s="114"/>
      <c r="G88" s="114"/>
      <c r="H88" s="114"/>
      <c r="I88" s="114"/>
      <c r="J88" s="114"/>
      <c r="K88" s="114"/>
      <c r="L88" s="114"/>
      <c r="M88" s="114"/>
    </row>
    <row r="89" spans="2:16" s="115" customFormat="1" ht="15.75" customHeight="1">
      <c r="B89" s="112"/>
      <c r="C89" s="941" t="s">
        <v>178</v>
      </c>
      <c r="D89" s="941"/>
      <c r="E89" s="955" t="s">
        <v>339</v>
      </c>
      <c r="F89" s="955"/>
      <c r="G89" s="955"/>
      <c r="H89" s="955"/>
      <c r="I89" s="955"/>
      <c r="J89" s="955"/>
      <c r="K89" s="955"/>
      <c r="L89" s="955"/>
      <c r="M89" s="116"/>
      <c r="N89" s="117"/>
    </row>
    <row r="90" spans="2:16" s="115" customFormat="1" ht="15.75" customHeight="1">
      <c r="B90" s="112"/>
      <c r="C90" s="941"/>
      <c r="D90" s="984"/>
      <c r="E90" s="944" t="s">
        <v>340</v>
      </c>
      <c r="F90" s="944"/>
      <c r="G90" s="944"/>
      <c r="H90" s="944"/>
      <c r="I90" s="944"/>
      <c r="J90" s="944"/>
      <c r="K90" s="944"/>
      <c r="L90" s="116"/>
      <c r="M90" s="116"/>
      <c r="N90" s="117"/>
    </row>
    <row r="91" spans="2:16" s="115" customFormat="1" ht="6" customHeight="1">
      <c r="B91" s="112"/>
      <c r="C91" s="231"/>
      <c r="D91" s="231"/>
      <c r="E91" s="230"/>
      <c r="F91" s="230"/>
      <c r="G91" s="230"/>
      <c r="H91" s="230"/>
      <c r="I91" s="230"/>
      <c r="J91" s="230"/>
      <c r="K91" s="230"/>
      <c r="L91" s="116"/>
      <c r="M91" s="116"/>
      <c r="N91" s="117"/>
    </row>
    <row r="92" spans="2:16" s="115" customFormat="1" ht="15.75" customHeight="1">
      <c r="B92" s="112"/>
      <c r="C92" s="231"/>
      <c r="D92" s="952" t="s">
        <v>96</v>
      </c>
      <c r="E92" s="953" t="s">
        <v>684</v>
      </c>
      <c r="F92" s="953"/>
      <c r="G92" s="953"/>
      <c r="H92" s="945" t="s">
        <v>96</v>
      </c>
      <c r="I92" s="759">
        <v>1176962</v>
      </c>
      <c r="J92" s="945" t="s">
        <v>96</v>
      </c>
      <c r="K92" s="958">
        <f>I92/I93*100</f>
        <v>4.4823687170071587</v>
      </c>
      <c r="L92" s="983" t="s">
        <v>794</v>
      </c>
      <c r="M92" s="308"/>
      <c r="N92" s="117"/>
    </row>
    <row r="93" spans="2:16" s="115" customFormat="1" ht="15.75" customHeight="1">
      <c r="B93" s="112"/>
      <c r="C93" s="231"/>
      <c r="D93" s="952"/>
      <c r="E93" s="954" t="s">
        <v>690</v>
      </c>
      <c r="F93" s="954"/>
      <c r="G93" s="954"/>
      <c r="H93" s="945"/>
      <c r="I93" s="760">
        <v>26257590</v>
      </c>
      <c r="J93" s="945"/>
      <c r="K93" s="958"/>
      <c r="L93" s="983"/>
      <c r="M93" s="308"/>
      <c r="N93" s="117"/>
    </row>
    <row r="94" spans="2:16" s="115" customFormat="1" ht="6.75" customHeight="1" thickBot="1">
      <c r="B94" s="112"/>
      <c r="C94" s="231"/>
      <c r="D94" s="231"/>
      <c r="E94" s="230"/>
      <c r="F94" s="230"/>
      <c r="G94" s="230"/>
      <c r="H94" s="230"/>
      <c r="I94" s="230"/>
      <c r="J94" s="503"/>
      <c r="K94" s="230"/>
      <c r="L94" s="116"/>
      <c r="M94" s="116"/>
      <c r="N94" s="117"/>
    </row>
    <row r="95" spans="2:16" s="115" customFormat="1" ht="15.75" customHeight="1">
      <c r="B95" s="112"/>
      <c r="C95" s="231"/>
      <c r="D95" s="931" t="s">
        <v>24</v>
      </c>
      <c r="E95" s="931"/>
      <c r="F95" s="122" t="s">
        <v>96</v>
      </c>
      <c r="G95" s="928" t="s">
        <v>176</v>
      </c>
      <c r="H95" s="928"/>
      <c r="I95" s="122" t="s">
        <v>96</v>
      </c>
      <c r="J95" s="504">
        <f>C38</f>
        <v>4879798</v>
      </c>
      <c r="K95" s="946" t="s">
        <v>210</v>
      </c>
      <c r="L95" s="956" t="s">
        <v>211</v>
      </c>
      <c r="M95" s="119"/>
      <c r="N95" s="117"/>
      <c r="O95" s="114">
        <f>J95+J96-J97-J98</f>
        <v>1176962</v>
      </c>
    </row>
    <row r="96" spans="2:16" s="115" customFormat="1" ht="15.75" customHeight="1">
      <c r="B96" s="112"/>
      <c r="C96" s="231"/>
      <c r="D96" s="931" t="s">
        <v>174</v>
      </c>
      <c r="E96" s="931"/>
      <c r="F96" s="122" t="s">
        <v>96</v>
      </c>
      <c r="G96" s="928" t="s">
        <v>25</v>
      </c>
      <c r="H96" s="928"/>
      <c r="I96" s="122" t="s">
        <v>96</v>
      </c>
      <c r="J96" s="504">
        <f>D23+E23+F23+G23+H23+I23</f>
        <v>1125438</v>
      </c>
      <c r="K96" s="947"/>
      <c r="L96" s="957"/>
      <c r="M96" s="119"/>
      <c r="N96" s="117"/>
      <c r="O96" s="114">
        <f>J99-J98</f>
        <v>26257590</v>
      </c>
    </row>
    <row r="97" spans="2:15" s="115" customFormat="1" ht="15.75" customHeight="1">
      <c r="B97" s="112"/>
      <c r="C97" s="231"/>
      <c r="D97" s="931" t="s">
        <v>30</v>
      </c>
      <c r="E97" s="931"/>
      <c r="F97" s="122" t="s">
        <v>96</v>
      </c>
      <c r="G97" s="928" t="s">
        <v>29</v>
      </c>
      <c r="H97" s="928"/>
      <c r="I97" s="122" t="s">
        <v>96</v>
      </c>
      <c r="J97" s="504">
        <f>J23</f>
        <v>631966</v>
      </c>
      <c r="K97" s="977">
        <v>25</v>
      </c>
      <c r="L97" s="980">
        <v>35</v>
      </c>
      <c r="M97" s="119"/>
      <c r="N97" s="117"/>
    </row>
    <row r="98" spans="2:15" s="115" customFormat="1" ht="15.75" customHeight="1">
      <c r="B98" s="112"/>
      <c r="C98" s="231"/>
      <c r="D98" s="931" t="s">
        <v>175</v>
      </c>
      <c r="E98" s="931"/>
      <c r="F98" s="122" t="s">
        <v>96</v>
      </c>
      <c r="G98" s="928" t="s">
        <v>692</v>
      </c>
      <c r="H98" s="928"/>
      <c r="I98" s="122" t="s">
        <v>96</v>
      </c>
      <c r="J98" s="504">
        <f>K23+L23+C29</f>
        <v>4196308</v>
      </c>
      <c r="K98" s="978"/>
      <c r="L98" s="981"/>
      <c r="M98" s="120"/>
      <c r="N98" s="117"/>
    </row>
    <row r="99" spans="2:15" s="115" customFormat="1" ht="15.75" customHeight="1" thickBot="1">
      <c r="B99" s="112"/>
      <c r="C99" s="231"/>
      <c r="D99" s="931" t="s">
        <v>177</v>
      </c>
      <c r="E99" s="931"/>
      <c r="F99" s="122" t="s">
        <v>96</v>
      </c>
      <c r="G99" s="928" t="s">
        <v>693</v>
      </c>
      <c r="H99" s="928"/>
      <c r="I99" s="122" t="s">
        <v>96</v>
      </c>
      <c r="J99" s="504">
        <f>D29+E29+F29</f>
        <v>30453898</v>
      </c>
      <c r="K99" s="979"/>
      <c r="L99" s="982"/>
      <c r="M99" s="120"/>
      <c r="N99" s="117"/>
    </row>
    <row r="100" spans="2:15" s="115" customFormat="1" ht="12" customHeight="1">
      <c r="B100" s="112"/>
      <c r="C100" s="231"/>
      <c r="D100" s="310"/>
      <c r="E100" s="310"/>
      <c r="F100" s="122"/>
      <c r="G100" s="311"/>
      <c r="H100" s="230"/>
      <c r="I100" s="230"/>
      <c r="J100" s="230"/>
      <c r="K100" s="230"/>
      <c r="L100" s="116"/>
      <c r="M100" s="116"/>
      <c r="N100" s="117"/>
    </row>
    <row r="101" spans="2:15" s="115" customFormat="1" ht="15.75" customHeight="1">
      <c r="B101" s="112"/>
      <c r="C101" s="948" t="s">
        <v>179</v>
      </c>
      <c r="D101" s="948"/>
      <c r="E101" s="949" t="s">
        <v>180</v>
      </c>
      <c r="F101" s="949"/>
      <c r="G101" s="949"/>
      <c r="H101" s="945" t="s">
        <v>96</v>
      </c>
      <c r="I101" s="761">
        <v>9.8415295830846468</v>
      </c>
      <c r="J101" s="945" t="s">
        <v>96</v>
      </c>
      <c r="K101" s="951">
        <f>ROUNDDOWN(I101/I102,1)</f>
        <v>3.2</v>
      </c>
      <c r="L101" s="925" t="s">
        <v>181</v>
      </c>
      <c r="M101" s="925"/>
      <c r="N101" s="312"/>
    </row>
    <row r="102" spans="2:15" s="115" customFormat="1" ht="15.75" customHeight="1">
      <c r="B102" s="112"/>
      <c r="C102" s="948"/>
      <c r="D102" s="948"/>
      <c r="E102" s="950">
        <v>3</v>
      </c>
      <c r="F102" s="950"/>
      <c r="G102" s="950"/>
      <c r="H102" s="945"/>
      <c r="I102" s="122">
        <v>3</v>
      </c>
      <c r="J102" s="945"/>
      <c r="K102" s="951"/>
      <c r="L102" s="925"/>
      <c r="M102" s="925"/>
      <c r="N102" s="312"/>
    </row>
    <row r="105" spans="2:15" s="115" customFormat="1" ht="15" customHeight="1">
      <c r="B105" s="111" t="s">
        <v>115</v>
      </c>
      <c r="C105" s="112"/>
      <c r="D105" s="113"/>
      <c r="E105" s="114"/>
      <c r="F105" s="114"/>
      <c r="G105" s="114"/>
      <c r="H105" s="114"/>
      <c r="I105" s="114"/>
      <c r="J105" s="114"/>
      <c r="K105" s="114"/>
      <c r="L105" s="114"/>
      <c r="M105" s="114"/>
    </row>
    <row r="106" spans="2:15" s="115" customFormat="1" ht="15.75" customHeight="1">
      <c r="B106" s="112"/>
      <c r="C106" s="941" t="s">
        <v>178</v>
      </c>
      <c r="D106" s="941"/>
      <c r="E106" s="955" t="s">
        <v>339</v>
      </c>
      <c r="F106" s="955"/>
      <c r="G106" s="955"/>
      <c r="H106" s="955"/>
      <c r="I106" s="955"/>
      <c r="J106" s="955"/>
      <c r="K106" s="955"/>
      <c r="L106" s="955"/>
      <c r="M106" s="116"/>
      <c r="N106" s="117"/>
    </row>
    <row r="107" spans="2:15" s="115" customFormat="1" ht="15.75" customHeight="1">
      <c r="B107" s="112"/>
      <c r="C107" s="941"/>
      <c r="D107" s="941"/>
      <c r="E107" s="944" t="s">
        <v>340</v>
      </c>
      <c r="F107" s="944"/>
      <c r="G107" s="944"/>
      <c r="H107" s="944"/>
      <c r="I107" s="944"/>
      <c r="J107" s="944"/>
      <c r="K107" s="944"/>
      <c r="L107" s="116"/>
      <c r="M107" s="116"/>
      <c r="N107" s="117"/>
    </row>
    <row r="108" spans="2:15" s="115" customFormat="1" ht="6" customHeight="1">
      <c r="B108" s="112"/>
      <c r="C108" s="231"/>
      <c r="D108" s="231"/>
      <c r="E108" s="230"/>
      <c r="F108" s="230"/>
      <c r="G108" s="230"/>
      <c r="H108" s="230"/>
      <c r="I108" s="230"/>
      <c r="J108" s="230"/>
      <c r="K108" s="230"/>
      <c r="L108" s="116"/>
      <c r="M108" s="116"/>
      <c r="N108" s="117"/>
    </row>
    <row r="109" spans="2:15" s="115" customFormat="1" ht="15.75" customHeight="1">
      <c r="B109" s="112"/>
      <c r="C109" s="231"/>
      <c r="D109" s="952" t="s">
        <v>96</v>
      </c>
      <c r="E109" s="953" t="s">
        <v>684</v>
      </c>
      <c r="F109" s="953"/>
      <c r="G109" s="953"/>
      <c r="H109" s="945" t="s">
        <v>96</v>
      </c>
      <c r="I109" s="307">
        <f>I74-I92</f>
        <v>263577</v>
      </c>
      <c r="J109" s="945" t="s">
        <v>96</v>
      </c>
      <c r="K109" s="958">
        <f>K74-K92</f>
        <v>0.80169686540325191</v>
      </c>
      <c r="L109" s="983" t="s">
        <v>838</v>
      </c>
      <c r="M109" s="308"/>
      <c r="N109" s="117"/>
    </row>
    <row r="110" spans="2:15" s="115" customFormat="1" ht="15.75" customHeight="1">
      <c r="B110" s="112"/>
      <c r="C110" s="231"/>
      <c r="D110" s="952"/>
      <c r="E110" s="954" t="s">
        <v>690</v>
      </c>
      <c r="F110" s="954"/>
      <c r="G110" s="954"/>
      <c r="H110" s="945"/>
      <c r="I110" s="122">
        <f>I75-I93</f>
        <v>1004354</v>
      </c>
      <c r="J110" s="945"/>
      <c r="K110" s="958"/>
      <c r="L110" s="983"/>
      <c r="M110" s="308"/>
      <c r="N110" s="117"/>
    </row>
    <row r="111" spans="2:15" s="115" customFormat="1" ht="6.75" customHeight="1" thickBot="1">
      <c r="B111" s="112"/>
      <c r="C111" s="231"/>
      <c r="D111" s="231"/>
      <c r="E111" s="230"/>
      <c r="F111" s="230"/>
      <c r="G111" s="230"/>
      <c r="H111" s="230"/>
      <c r="I111" s="230"/>
      <c r="J111" s="230"/>
      <c r="K111" s="230"/>
      <c r="L111" s="116"/>
      <c r="M111" s="116"/>
      <c r="N111" s="117"/>
    </row>
    <row r="112" spans="2:15" s="115" customFormat="1" ht="15.75" customHeight="1">
      <c r="B112" s="112"/>
      <c r="C112" s="231"/>
      <c r="D112" s="931" t="s">
        <v>24</v>
      </c>
      <c r="E112" s="931"/>
      <c r="F112" s="122" t="s">
        <v>96</v>
      </c>
      <c r="G112" s="928" t="s">
        <v>176</v>
      </c>
      <c r="H112" s="928"/>
      <c r="I112" s="122" t="s">
        <v>96</v>
      </c>
      <c r="J112" s="309">
        <f>J77-J95</f>
        <v>133092</v>
      </c>
      <c r="K112" s="946" t="s">
        <v>210</v>
      </c>
      <c r="L112" s="956" t="s">
        <v>211</v>
      </c>
      <c r="M112" s="119"/>
      <c r="N112" s="117"/>
      <c r="O112" s="114">
        <f>J112+J113-J114-J115</f>
        <v>263577</v>
      </c>
    </row>
    <row r="113" spans="2:15" s="115" customFormat="1" ht="15.75" customHeight="1">
      <c r="B113" s="112"/>
      <c r="C113" s="231"/>
      <c r="D113" s="931" t="s">
        <v>174</v>
      </c>
      <c r="E113" s="931"/>
      <c r="F113" s="122" t="s">
        <v>96</v>
      </c>
      <c r="G113" s="928" t="s">
        <v>25</v>
      </c>
      <c r="H113" s="928"/>
      <c r="I113" s="122" t="s">
        <v>96</v>
      </c>
      <c r="J113" s="309">
        <f>J78-J96</f>
        <v>154705</v>
      </c>
      <c r="K113" s="947"/>
      <c r="L113" s="957"/>
      <c r="M113" s="119"/>
      <c r="N113" s="117"/>
      <c r="O113" s="114">
        <f>J116-J115</f>
        <v>1004354</v>
      </c>
    </row>
    <row r="114" spans="2:15" s="115" customFormat="1" ht="15.75" customHeight="1">
      <c r="B114" s="112"/>
      <c r="C114" s="231"/>
      <c r="D114" s="931" t="s">
        <v>30</v>
      </c>
      <c r="E114" s="931"/>
      <c r="F114" s="122" t="s">
        <v>96</v>
      </c>
      <c r="G114" s="928" t="s">
        <v>29</v>
      </c>
      <c r="H114" s="928"/>
      <c r="I114" s="122" t="s">
        <v>96</v>
      </c>
      <c r="J114" s="309">
        <f>J79-J97</f>
        <v>64487</v>
      </c>
      <c r="K114" s="977">
        <f>K79-K97</f>
        <v>0</v>
      </c>
      <c r="L114" s="980">
        <f>L79-L97</f>
        <v>0</v>
      </c>
      <c r="M114" s="119"/>
      <c r="N114" s="117"/>
    </row>
    <row r="115" spans="2:15" s="115" customFormat="1" ht="15.75" customHeight="1">
      <c r="B115" s="112"/>
      <c r="C115" s="231"/>
      <c r="D115" s="931" t="s">
        <v>175</v>
      </c>
      <c r="E115" s="931"/>
      <c r="F115" s="122" t="s">
        <v>96</v>
      </c>
      <c r="G115" s="928" t="s">
        <v>692</v>
      </c>
      <c r="H115" s="928"/>
      <c r="I115" s="122" t="s">
        <v>96</v>
      </c>
      <c r="J115" s="309">
        <f>J80-J98</f>
        <v>-40267</v>
      </c>
      <c r="K115" s="978"/>
      <c r="L115" s="981"/>
      <c r="M115" s="120"/>
      <c r="N115" s="117"/>
    </row>
    <row r="116" spans="2:15" s="115" customFormat="1" ht="15.75" customHeight="1" thickBot="1">
      <c r="B116" s="112"/>
      <c r="C116" s="231"/>
      <c r="D116" s="931" t="s">
        <v>177</v>
      </c>
      <c r="E116" s="931"/>
      <c r="F116" s="122" t="s">
        <v>96</v>
      </c>
      <c r="G116" s="928" t="s">
        <v>693</v>
      </c>
      <c r="H116" s="928"/>
      <c r="I116" s="122" t="s">
        <v>96</v>
      </c>
      <c r="J116" s="309">
        <f>J81-J99</f>
        <v>964087</v>
      </c>
      <c r="K116" s="979"/>
      <c r="L116" s="982"/>
      <c r="M116" s="120"/>
      <c r="N116" s="117"/>
    </row>
    <row r="117" spans="2:15" s="115" customFormat="1" ht="12" customHeight="1">
      <c r="B117" s="112"/>
      <c r="C117" s="231"/>
      <c r="D117" s="310"/>
      <c r="E117" s="310"/>
      <c r="F117" s="122"/>
      <c r="G117" s="311"/>
      <c r="H117" s="230"/>
      <c r="I117" s="230"/>
      <c r="J117" s="230"/>
      <c r="K117" s="230"/>
      <c r="L117" s="116"/>
      <c r="M117" s="116"/>
      <c r="N117" s="117"/>
    </row>
    <row r="118" spans="2:15" s="115" customFormat="1" ht="15.75" customHeight="1">
      <c r="B118" s="112"/>
      <c r="C118" s="948" t="s">
        <v>179</v>
      </c>
      <c r="D118" s="948"/>
      <c r="E118" s="949" t="s">
        <v>180</v>
      </c>
      <c r="F118" s="949"/>
      <c r="G118" s="949"/>
      <c r="H118" s="945" t="s">
        <v>96</v>
      </c>
      <c r="I118" s="121">
        <f>I83-I101</f>
        <v>2.5023430045161064</v>
      </c>
      <c r="J118" s="945" t="s">
        <v>96</v>
      </c>
      <c r="K118" s="951">
        <f>K83-K101</f>
        <v>0.89999999999999947</v>
      </c>
      <c r="L118" s="925" t="s">
        <v>181</v>
      </c>
      <c r="M118" s="925"/>
      <c r="N118" s="312"/>
    </row>
    <row r="119" spans="2:15" s="115" customFormat="1" ht="15.75" customHeight="1">
      <c r="B119" s="112"/>
      <c r="C119" s="948"/>
      <c r="D119" s="948"/>
      <c r="E119" s="950">
        <v>3</v>
      </c>
      <c r="F119" s="950"/>
      <c r="G119" s="950"/>
      <c r="H119" s="945"/>
      <c r="I119" s="122">
        <v>3</v>
      </c>
      <c r="J119" s="945"/>
      <c r="K119" s="951"/>
      <c r="L119" s="925"/>
      <c r="M119" s="925"/>
      <c r="N119" s="312"/>
    </row>
    <row r="202" spans="5:5">
      <c r="E202" s="516"/>
    </row>
  </sheetData>
  <mergeCells count="150">
    <mergeCell ref="E71:L71"/>
    <mergeCell ref="E89:L89"/>
    <mergeCell ref="E106:L106"/>
    <mergeCell ref="L83:M84"/>
    <mergeCell ref="L101:M102"/>
    <mergeCell ref="L118:M119"/>
    <mergeCell ref="C118:D119"/>
    <mergeCell ref="E118:G118"/>
    <mergeCell ref="H118:H119"/>
    <mergeCell ref="J118:J119"/>
    <mergeCell ref="K118:K119"/>
    <mergeCell ref="E119:G119"/>
    <mergeCell ref="D114:E114"/>
    <mergeCell ref="G114:H114"/>
    <mergeCell ref="K114:K116"/>
    <mergeCell ref="L114:L116"/>
    <mergeCell ref="D115:E115"/>
    <mergeCell ref="G115:H115"/>
    <mergeCell ref="D116:E116"/>
    <mergeCell ref="G116:H116"/>
    <mergeCell ref="L109:L110"/>
    <mergeCell ref="E110:G110"/>
    <mergeCell ref="D112:E112"/>
    <mergeCell ref="G112:H112"/>
    <mergeCell ref="K112:K113"/>
    <mergeCell ref="L112:L113"/>
    <mergeCell ref="D113:E113"/>
    <mergeCell ref="G113:H113"/>
    <mergeCell ref="C106:D107"/>
    <mergeCell ref="E107:K107"/>
    <mergeCell ref="D109:D110"/>
    <mergeCell ref="E109:G109"/>
    <mergeCell ref="H109:H110"/>
    <mergeCell ref="J109:J110"/>
    <mergeCell ref="K109:K110"/>
    <mergeCell ref="C101:D102"/>
    <mergeCell ref="E101:G101"/>
    <mergeCell ref="H101:H102"/>
    <mergeCell ref="J101:J102"/>
    <mergeCell ref="K101:K102"/>
    <mergeCell ref="E102:G102"/>
    <mergeCell ref="D97:E97"/>
    <mergeCell ref="G97:H97"/>
    <mergeCell ref="K97:K99"/>
    <mergeCell ref="L97:L99"/>
    <mergeCell ref="D98:E98"/>
    <mergeCell ref="G98:H98"/>
    <mergeCell ref="D99:E99"/>
    <mergeCell ref="G99:H99"/>
    <mergeCell ref="L92:L93"/>
    <mergeCell ref="E93:G93"/>
    <mergeCell ref="D95:E95"/>
    <mergeCell ref="G95:H95"/>
    <mergeCell ref="K95:K96"/>
    <mergeCell ref="L95:L96"/>
    <mergeCell ref="D96:E96"/>
    <mergeCell ref="G96:H96"/>
    <mergeCell ref="C89:D90"/>
    <mergeCell ref="E90:K90"/>
    <mergeCell ref="D92:D93"/>
    <mergeCell ref="E92:G92"/>
    <mergeCell ref="H92:H93"/>
    <mergeCell ref="J92:J93"/>
    <mergeCell ref="K92:K93"/>
    <mergeCell ref="C83:D84"/>
    <mergeCell ref="E83:G83"/>
    <mergeCell ref="H83:H84"/>
    <mergeCell ref="J83:J84"/>
    <mergeCell ref="K83:K84"/>
    <mergeCell ref="E84:G84"/>
    <mergeCell ref="D79:E79"/>
    <mergeCell ref="G79:H79"/>
    <mergeCell ref="K79:K81"/>
    <mergeCell ref="L79:L81"/>
    <mergeCell ref="D80:E80"/>
    <mergeCell ref="G80:H80"/>
    <mergeCell ref="D81:E81"/>
    <mergeCell ref="G81:H81"/>
    <mergeCell ref="L74:L75"/>
    <mergeCell ref="Q74:Q75"/>
    <mergeCell ref="R74:R75"/>
    <mergeCell ref="E75:G75"/>
    <mergeCell ref="D77:E77"/>
    <mergeCell ref="G77:H77"/>
    <mergeCell ref="K77:K78"/>
    <mergeCell ref="L77:L78"/>
    <mergeCell ref="D78:E78"/>
    <mergeCell ref="G78:H78"/>
    <mergeCell ref="Q8:Q9"/>
    <mergeCell ref="R8:R9"/>
    <mergeCell ref="C71:D72"/>
    <mergeCell ref="E72:K72"/>
    <mergeCell ref="D74:D75"/>
    <mergeCell ref="E74:G74"/>
    <mergeCell ref="H74:H75"/>
    <mergeCell ref="J74:J75"/>
    <mergeCell ref="K74:K75"/>
    <mergeCell ref="F34:F35"/>
    <mergeCell ref="G34:G35"/>
    <mergeCell ref="F54:F55"/>
    <mergeCell ref="G54:G55"/>
    <mergeCell ref="H54:H55"/>
    <mergeCell ref="L54:L55"/>
    <mergeCell ref="J28:J30"/>
    <mergeCell ref="H26:H27"/>
    <mergeCell ref="I26:I27"/>
    <mergeCell ref="J26:J27"/>
    <mergeCell ref="L8:L9"/>
    <mergeCell ref="K8:K9"/>
    <mergeCell ref="G11:H11"/>
    <mergeCell ref="K13:K15"/>
    <mergeCell ref="L13:L15"/>
    <mergeCell ref="B2:C2"/>
    <mergeCell ref="C5:D6"/>
    <mergeCell ref="D15:E15"/>
    <mergeCell ref="B26:B27"/>
    <mergeCell ref="D13:E13"/>
    <mergeCell ref="B34:B36"/>
    <mergeCell ref="E6:K6"/>
    <mergeCell ref="H8:H9"/>
    <mergeCell ref="K11:K12"/>
    <mergeCell ref="C17:D18"/>
    <mergeCell ref="E17:G17"/>
    <mergeCell ref="E18:G18"/>
    <mergeCell ref="H17:H18"/>
    <mergeCell ref="J17:J18"/>
    <mergeCell ref="K17:K18"/>
    <mergeCell ref="G12:H12"/>
    <mergeCell ref="J8:J9"/>
    <mergeCell ref="D12:E12"/>
    <mergeCell ref="D8:D9"/>
    <mergeCell ref="D11:E11"/>
    <mergeCell ref="E8:G8"/>
    <mergeCell ref="E9:G9"/>
    <mergeCell ref="E5:L5"/>
    <mergeCell ref="L11:L12"/>
    <mergeCell ref="L17:M18"/>
    <mergeCell ref="B61:B62"/>
    <mergeCell ref="G15:H15"/>
    <mergeCell ref="B20:B21"/>
    <mergeCell ref="D14:E14"/>
    <mergeCell ref="G13:H13"/>
    <mergeCell ref="G14:H14"/>
    <mergeCell ref="C34:C35"/>
    <mergeCell ref="B54:B55"/>
    <mergeCell ref="C54:C55"/>
    <mergeCell ref="D54:D55"/>
    <mergeCell ref="E54:E55"/>
    <mergeCell ref="D34:D35"/>
    <mergeCell ref="E34:E35"/>
  </mergeCells>
  <phoneticPr fontId="2"/>
  <pageMargins left="0.78740157480314965" right="0.39370078740157483" top="0.78740157480314965" bottom="0.78740157480314965" header="0.62992125984251968" footer="0.39370078740157483"/>
  <pageSetup paperSize="9" scale="68" orientation="landscape" cellComments="asDisplayed" r:id="rId1"/>
  <headerFooter alignWithMargins="0">
    <oddHeader>&amp;R&amp;8&amp;D</oddHeader>
    <oddFooter>&amp;R&amp;8&amp;Z&amp;F</oddFooter>
  </headerFooter>
  <rowBreaks count="2" manualBreakCount="2">
    <brk id="32" max="12" man="1"/>
    <brk id="65" max="12" man="1"/>
  </rowBreaks>
  <colBreaks count="1" manualBreakCount="1">
    <brk id="13" max="5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202"/>
  <sheetViews>
    <sheetView view="pageBreakPreview" zoomScaleNormal="100" zoomScaleSheetLayoutView="100" workbookViewId="0">
      <selection activeCell="F13" sqref="F13"/>
    </sheetView>
  </sheetViews>
  <sheetFormatPr defaultRowHeight="25.5" customHeight="1"/>
  <cols>
    <col min="1" max="1" width="1.375" style="115" customWidth="1"/>
    <col min="2" max="2" width="4" style="112" customWidth="1"/>
    <col min="3" max="3" width="14.125" style="112" customWidth="1"/>
    <col min="4" max="4" width="14.125" style="113" customWidth="1"/>
    <col min="5" max="12" width="14.125" style="114" customWidth="1"/>
    <col min="13" max="13" width="14.125" style="115" customWidth="1"/>
    <col min="14" max="14" width="1" style="115" customWidth="1"/>
    <col min="15" max="15" width="9" style="115"/>
    <col min="16" max="16" width="9.375" style="115" bestFit="1" customWidth="1"/>
    <col min="17" max="16384" width="9" style="115"/>
  </cols>
  <sheetData>
    <row r="1" spans="2:12" ht="10.5" customHeight="1"/>
    <row r="2" spans="2:12" ht="25.5" customHeight="1">
      <c r="B2" s="940" t="s">
        <v>193</v>
      </c>
      <c r="C2" s="940"/>
      <c r="D2" s="940"/>
      <c r="E2" s="236" t="s">
        <v>194</v>
      </c>
      <c r="L2" s="364"/>
    </row>
    <row r="3" spans="2:12" ht="9" customHeight="1" thickBot="1"/>
    <row r="4" spans="2:12" ht="15.75" customHeight="1">
      <c r="B4" s="1065" t="s">
        <v>193</v>
      </c>
      <c r="C4" s="1066"/>
      <c r="D4" s="1071">
        <f>ROUNDDOWN((E6-F6-G6-H6)/(I6-K6)*100,1)</f>
        <v>13.3</v>
      </c>
      <c r="E4" s="993" t="s">
        <v>197</v>
      </c>
      <c r="F4" s="995" t="s">
        <v>303</v>
      </c>
      <c r="G4" s="996"/>
      <c r="H4" s="997"/>
      <c r="I4" s="998"/>
      <c r="J4" s="997"/>
      <c r="K4" s="999" t="s">
        <v>40</v>
      </c>
      <c r="L4" s="991" t="s">
        <v>245</v>
      </c>
    </row>
    <row r="5" spans="2:12" ht="36.75" customHeight="1" thickBot="1">
      <c r="B5" s="1067"/>
      <c r="C5" s="1068"/>
      <c r="D5" s="1072"/>
      <c r="E5" s="994"/>
      <c r="F5" s="365" t="s">
        <v>198</v>
      </c>
      <c r="G5" s="365" t="s">
        <v>199</v>
      </c>
      <c r="H5" s="366" t="s">
        <v>677</v>
      </c>
      <c r="I5" s="367" t="s">
        <v>112</v>
      </c>
      <c r="J5" s="368" t="s">
        <v>52</v>
      </c>
      <c r="K5" s="1000"/>
      <c r="L5" s="992"/>
    </row>
    <row r="6" spans="2:12" ht="24.75" customHeight="1" thickBot="1">
      <c r="B6" s="1069"/>
      <c r="C6" s="1070"/>
      <c r="D6" s="1073"/>
      <c r="E6" s="571">
        <f>K15</f>
        <v>63100300</v>
      </c>
      <c r="F6" s="369">
        <f>L80</f>
        <v>14580520</v>
      </c>
      <c r="G6" s="369">
        <f>H95+H97</f>
        <v>5793984.9849999994</v>
      </c>
      <c r="H6" s="369">
        <f>M105</f>
        <v>39083626</v>
      </c>
      <c r="I6" s="370">
        <f>実質赤字比率!J5</f>
        <v>31417985</v>
      </c>
      <c r="J6" s="369">
        <f>実質赤字比率!K5</f>
        <v>165173</v>
      </c>
      <c r="K6" s="371">
        <f>実質公債費比率!J14</f>
        <v>4156041</v>
      </c>
      <c r="L6" s="185">
        <v>350</v>
      </c>
    </row>
    <row r="7" spans="2:12" ht="13.5" customHeight="1">
      <c r="G7" s="372" t="s">
        <v>132</v>
      </c>
      <c r="H7" s="174">
        <f>SUM(F6:H6)</f>
        <v>59458130.984999999</v>
      </c>
    </row>
    <row r="8" spans="2:12" ht="15" customHeight="1">
      <c r="B8" s="134" t="s">
        <v>115</v>
      </c>
    </row>
    <row r="9" spans="2:12" ht="15" customHeight="1">
      <c r="C9" s="908" t="s">
        <v>195</v>
      </c>
      <c r="D9" s="908"/>
      <c r="E9" s="911" t="s">
        <v>196</v>
      </c>
      <c r="F9" s="911"/>
      <c r="G9" s="911"/>
      <c r="H9" s="911"/>
      <c r="I9" s="911"/>
      <c r="J9" s="911"/>
      <c r="K9" s="911"/>
    </row>
    <row r="10" spans="2:12" ht="15" customHeight="1">
      <c r="C10" s="908"/>
      <c r="D10" s="908"/>
      <c r="E10" s="1062" t="s">
        <v>398</v>
      </c>
      <c r="F10" s="1062"/>
      <c r="G10" s="1062"/>
      <c r="H10" s="1062"/>
      <c r="I10" s="1062"/>
      <c r="J10" s="1062"/>
      <c r="K10" s="1062"/>
    </row>
    <row r="11" spans="2:12" ht="9" customHeight="1"/>
    <row r="12" spans="2:12" ht="17.25" customHeight="1" thickBot="1">
      <c r="B12" s="186" t="s">
        <v>200</v>
      </c>
    </row>
    <row r="13" spans="2:12" ht="13.5" customHeight="1">
      <c r="B13" s="134"/>
      <c r="C13" s="373" t="s">
        <v>54</v>
      </c>
      <c r="D13" s="374" t="s">
        <v>39</v>
      </c>
      <c r="E13" s="375" t="s">
        <v>55</v>
      </c>
      <c r="F13" s="375" t="s">
        <v>56</v>
      </c>
      <c r="G13" s="375" t="s">
        <v>57</v>
      </c>
      <c r="H13" s="375" t="s">
        <v>58</v>
      </c>
      <c r="I13" s="375" t="s">
        <v>59</v>
      </c>
      <c r="J13" s="376" t="s">
        <v>60</v>
      </c>
      <c r="K13" s="1063" t="s">
        <v>132</v>
      </c>
    </row>
    <row r="14" spans="2:12" ht="28.5" customHeight="1">
      <c r="B14" s="134"/>
      <c r="C14" s="377" t="s">
        <v>201</v>
      </c>
      <c r="D14" s="378" t="s">
        <v>306</v>
      </c>
      <c r="E14" s="379" t="s">
        <v>202</v>
      </c>
      <c r="F14" s="379" t="s">
        <v>203</v>
      </c>
      <c r="G14" s="379" t="s">
        <v>204</v>
      </c>
      <c r="H14" s="380" t="s">
        <v>307</v>
      </c>
      <c r="I14" s="379" t="s">
        <v>137</v>
      </c>
      <c r="J14" s="381" t="s">
        <v>205</v>
      </c>
      <c r="K14" s="1064"/>
    </row>
    <row r="15" spans="2:12" s="382" customFormat="1" ht="24.75" customHeight="1" thickBot="1">
      <c r="C15" s="383">
        <f>E19</f>
        <v>45920278</v>
      </c>
      <c r="D15" s="384">
        <f>F38</f>
        <v>149226</v>
      </c>
      <c r="E15" s="384">
        <f>M56</f>
        <v>11107442</v>
      </c>
      <c r="F15" s="384">
        <v>0</v>
      </c>
      <c r="G15" s="384">
        <f>G74</f>
        <v>5923354</v>
      </c>
      <c r="H15" s="384">
        <v>0</v>
      </c>
      <c r="I15" s="384">
        <v>0</v>
      </c>
      <c r="J15" s="385">
        <v>0</v>
      </c>
      <c r="K15" s="570">
        <f>SUM(C15:J15)</f>
        <v>63100300</v>
      </c>
    </row>
    <row r="16" spans="2:12" ht="7.5" customHeight="1"/>
    <row r="17" spans="3:14" ht="17.25" customHeight="1">
      <c r="C17" s="134" t="s">
        <v>721</v>
      </c>
    </row>
    <row r="18" spans="3:14" s="386" customFormat="1" ht="24.75" customHeight="1">
      <c r="C18" s="387" t="s">
        <v>130</v>
      </c>
      <c r="D18" s="388" t="s">
        <v>131</v>
      </c>
      <c r="E18" s="187" t="s">
        <v>132</v>
      </c>
      <c r="G18" s="389"/>
      <c r="H18" s="389"/>
      <c r="I18" s="389"/>
      <c r="J18" s="389"/>
      <c r="K18" s="389"/>
      <c r="L18" s="389"/>
    </row>
    <row r="19" spans="3:14" ht="24.75" customHeight="1">
      <c r="C19" s="780">
        <v>45920278</v>
      </c>
      <c r="D19" s="188">
        <v>0</v>
      </c>
      <c r="E19" s="188">
        <f>SUM(C19:D19)</f>
        <v>45920278</v>
      </c>
    </row>
    <row r="20" spans="3:14" ht="6.75" customHeight="1"/>
    <row r="21" spans="3:14" ht="17.25" customHeight="1">
      <c r="C21" s="134" t="s">
        <v>440</v>
      </c>
      <c r="K21" s="390"/>
      <c r="L21" s="390"/>
    </row>
    <row r="22" spans="3:14" ht="12" customHeight="1">
      <c r="C22" s="1040" t="s">
        <v>236</v>
      </c>
      <c r="D22" s="1040"/>
      <c r="E22" s="1019" t="s">
        <v>233</v>
      </c>
      <c r="F22" s="1019" t="s">
        <v>234</v>
      </c>
      <c r="G22" s="1024" t="s">
        <v>235</v>
      </c>
      <c r="H22" s="1024"/>
      <c r="I22" s="1024"/>
      <c r="J22" s="1024"/>
      <c r="K22" s="1024"/>
    </row>
    <row r="23" spans="3:14" ht="12" customHeight="1">
      <c r="C23" s="1040"/>
      <c r="D23" s="1040"/>
      <c r="E23" s="1019"/>
      <c r="F23" s="1019"/>
      <c r="G23" s="391"/>
      <c r="H23" s="173"/>
      <c r="I23" s="173"/>
      <c r="J23" s="392" t="s">
        <v>61</v>
      </c>
      <c r="K23" s="393" t="s">
        <v>62</v>
      </c>
    </row>
    <row r="24" spans="3:14" ht="17.25" customHeight="1">
      <c r="C24" s="394" t="s">
        <v>227</v>
      </c>
      <c r="D24" s="395"/>
      <c r="E24" s="235">
        <v>0</v>
      </c>
      <c r="F24" s="235">
        <v>0</v>
      </c>
      <c r="G24" s="1012"/>
      <c r="H24" s="1012"/>
      <c r="I24" s="1013"/>
      <c r="J24" s="396"/>
      <c r="K24" s="397"/>
    </row>
    <row r="25" spans="3:14" ht="17.25" customHeight="1">
      <c r="C25" s="394" t="s">
        <v>228</v>
      </c>
      <c r="D25" s="395"/>
      <c r="E25" s="235">
        <v>0</v>
      </c>
      <c r="F25" s="235">
        <v>0</v>
      </c>
      <c r="G25" s="1012"/>
      <c r="H25" s="1012"/>
      <c r="I25" s="1013"/>
      <c r="J25" s="396"/>
      <c r="K25" s="398"/>
    </row>
    <row r="26" spans="3:14" ht="17.25" customHeight="1">
      <c r="C26" s="394" t="s">
        <v>229</v>
      </c>
      <c r="D26" s="395"/>
      <c r="E26" s="235">
        <f t="shared" ref="E26:F30" si="0">J26</f>
        <v>0</v>
      </c>
      <c r="F26" s="235">
        <f t="shared" si="0"/>
        <v>0</v>
      </c>
      <c r="G26" s="1074"/>
      <c r="H26" s="1074"/>
      <c r="I26" s="1075"/>
      <c r="J26" s="396"/>
      <c r="K26" s="398"/>
      <c r="N26" s="115">
        <v>7498</v>
      </c>
    </row>
    <row r="27" spans="3:14" ht="17.25" customHeight="1">
      <c r="C27" s="399" t="s">
        <v>230</v>
      </c>
      <c r="D27" s="395"/>
      <c r="E27" s="235">
        <f t="shared" si="0"/>
        <v>0</v>
      </c>
      <c r="F27" s="235">
        <f t="shared" si="0"/>
        <v>0</v>
      </c>
      <c r="G27" s="1012"/>
      <c r="H27" s="1012"/>
      <c r="I27" s="1013"/>
      <c r="J27" s="396"/>
      <c r="K27" s="398"/>
    </row>
    <row r="28" spans="3:14" ht="17.25" customHeight="1">
      <c r="C28" s="394" t="s">
        <v>231</v>
      </c>
      <c r="D28" s="395"/>
      <c r="E28" s="235">
        <f t="shared" si="0"/>
        <v>0</v>
      </c>
      <c r="F28" s="235">
        <f t="shared" si="0"/>
        <v>0</v>
      </c>
      <c r="G28" s="1012"/>
      <c r="H28" s="1012"/>
      <c r="I28" s="1013"/>
      <c r="J28" s="396"/>
      <c r="K28" s="398"/>
    </row>
    <row r="29" spans="3:14" ht="17.25" customHeight="1">
      <c r="C29" s="394" t="s">
        <v>232</v>
      </c>
      <c r="D29" s="395"/>
      <c r="E29" s="235">
        <f t="shared" si="0"/>
        <v>0</v>
      </c>
      <c r="F29" s="235">
        <f t="shared" si="0"/>
        <v>0</v>
      </c>
      <c r="G29" s="1012"/>
      <c r="H29" s="1012"/>
      <c r="I29" s="1013"/>
      <c r="J29" s="396"/>
      <c r="K29" s="398"/>
    </row>
    <row r="30" spans="3:14" ht="17.25" customHeight="1">
      <c r="C30" s="399" t="s">
        <v>402</v>
      </c>
      <c r="D30" s="400"/>
      <c r="E30" s="235">
        <f t="shared" si="0"/>
        <v>0</v>
      </c>
      <c r="F30" s="235">
        <f>K30</f>
        <v>0</v>
      </c>
      <c r="G30" s="1014"/>
      <c r="H30" s="1015"/>
      <c r="I30" s="1015"/>
      <c r="J30" s="505"/>
      <c r="K30" s="506"/>
    </row>
    <row r="31" spans="3:14" ht="14.25" customHeight="1">
      <c r="C31" s="1045" t="s">
        <v>784</v>
      </c>
      <c r="D31" s="1046"/>
      <c r="E31" s="1051">
        <f>SUM(J31:J37)</f>
        <v>179080</v>
      </c>
      <c r="F31" s="1051">
        <f>SUM(K31:K33)</f>
        <v>149226</v>
      </c>
      <c r="G31" s="1060" t="s">
        <v>870</v>
      </c>
      <c r="H31" s="1061"/>
      <c r="I31" s="1061"/>
      <c r="J31" s="555">
        <v>179080</v>
      </c>
      <c r="K31" s="556">
        <v>149226</v>
      </c>
    </row>
    <row r="32" spans="3:14" ht="14.25" customHeight="1">
      <c r="C32" s="1047"/>
      <c r="D32" s="1048"/>
      <c r="E32" s="1052"/>
      <c r="F32" s="1052"/>
      <c r="G32" s="1007"/>
      <c r="H32" s="1008"/>
      <c r="I32" s="1009"/>
      <c r="J32" s="401"/>
      <c r="K32" s="402"/>
    </row>
    <row r="33" spans="2:15" ht="14.25" customHeight="1">
      <c r="C33" s="1047"/>
      <c r="D33" s="1048"/>
      <c r="E33" s="1052"/>
      <c r="F33" s="1052"/>
      <c r="G33" s="1007"/>
      <c r="H33" s="1008"/>
      <c r="I33" s="1009"/>
      <c r="J33" s="401"/>
      <c r="K33" s="402"/>
    </row>
    <row r="34" spans="2:15" ht="14.25" customHeight="1">
      <c r="C34" s="1047"/>
      <c r="D34" s="1048"/>
      <c r="E34" s="1052"/>
      <c r="F34" s="1052"/>
      <c r="G34" s="1007"/>
      <c r="H34" s="1008"/>
      <c r="I34" s="1009"/>
      <c r="J34" s="401"/>
      <c r="K34" s="402"/>
    </row>
    <row r="35" spans="2:15" ht="11.25" customHeight="1">
      <c r="C35" s="1047"/>
      <c r="D35" s="1048"/>
      <c r="E35" s="1052"/>
      <c r="F35" s="1052"/>
      <c r="G35" s="1010"/>
      <c r="H35" s="1011"/>
      <c r="I35" s="1011"/>
      <c r="J35" s="401"/>
      <c r="K35" s="402"/>
    </row>
    <row r="36" spans="2:15" ht="11.25" customHeight="1">
      <c r="C36" s="1047"/>
      <c r="D36" s="1048"/>
      <c r="E36" s="1052"/>
      <c r="F36" s="1052"/>
      <c r="G36" s="1054"/>
      <c r="H36" s="1055"/>
      <c r="I36" s="1056"/>
      <c r="J36" s="401"/>
      <c r="K36" s="402"/>
    </row>
    <row r="37" spans="2:15" ht="11.25" customHeight="1">
      <c r="C37" s="1049"/>
      <c r="D37" s="1050"/>
      <c r="E37" s="1053"/>
      <c r="F37" s="1053"/>
      <c r="G37" s="1057"/>
      <c r="H37" s="1058"/>
      <c r="I37" s="1059"/>
      <c r="J37" s="403"/>
      <c r="K37" s="404"/>
    </row>
    <row r="38" spans="2:15" ht="21.75" customHeight="1">
      <c r="C38" s="1040" t="s">
        <v>132</v>
      </c>
      <c r="D38" s="1040"/>
      <c r="E38" s="235">
        <f>SUM(E24:E35)</f>
        <v>179080</v>
      </c>
      <c r="F38" s="235">
        <f>SUM(F24:F35)</f>
        <v>149226</v>
      </c>
      <c r="G38" s="1012"/>
      <c r="H38" s="1012"/>
      <c r="I38" s="1012"/>
      <c r="J38" s="1012"/>
      <c r="K38" s="1012"/>
    </row>
    <row r="39" spans="2:15" ht="15" customHeight="1"/>
    <row r="40" spans="2:15" ht="17.25" customHeight="1">
      <c r="C40" s="134" t="s">
        <v>42</v>
      </c>
      <c r="E40" s="114" t="s">
        <v>403</v>
      </c>
      <c r="M40" s="405"/>
    </row>
    <row r="41" spans="2:15" ht="17.25" customHeight="1">
      <c r="C41" s="134"/>
      <c r="E41" s="114" t="s">
        <v>722</v>
      </c>
      <c r="M41" s="405"/>
    </row>
    <row r="42" spans="2:15" ht="18" customHeight="1">
      <c r="C42" s="1041" t="s">
        <v>254</v>
      </c>
      <c r="D42" s="406" t="s">
        <v>214</v>
      </c>
      <c r="E42" s="407" t="s">
        <v>246</v>
      </c>
      <c r="F42" s="407" t="s">
        <v>247</v>
      </c>
      <c r="G42" s="407" t="s">
        <v>248</v>
      </c>
      <c r="H42" s="407" t="s">
        <v>249</v>
      </c>
      <c r="I42" s="407" t="s">
        <v>250</v>
      </c>
      <c r="J42" s="408" t="s">
        <v>251</v>
      </c>
      <c r="K42" s="407" t="s">
        <v>252</v>
      </c>
      <c r="L42" s="409" t="s">
        <v>253</v>
      </c>
      <c r="M42" s="410" t="s">
        <v>255</v>
      </c>
    </row>
    <row r="43" spans="2:15" s="118" customFormat="1" ht="18" customHeight="1">
      <c r="B43" s="411"/>
      <c r="C43" s="1042"/>
      <c r="D43" s="412" t="s">
        <v>63</v>
      </c>
      <c r="E43" s="413" t="s">
        <v>64</v>
      </c>
      <c r="F43" s="413" t="s">
        <v>65</v>
      </c>
      <c r="G43" s="413" t="s">
        <v>66</v>
      </c>
      <c r="H43" s="413" t="s">
        <v>67</v>
      </c>
      <c r="I43" s="413" t="s">
        <v>68</v>
      </c>
      <c r="J43" s="413" t="s">
        <v>69</v>
      </c>
      <c r="K43" s="413" t="s">
        <v>70</v>
      </c>
      <c r="L43" s="414" t="s">
        <v>71</v>
      </c>
      <c r="M43" s="415" t="s">
        <v>72</v>
      </c>
      <c r="O43" s="118" t="s">
        <v>719</v>
      </c>
    </row>
    <row r="44" spans="2:15" ht="12" customHeight="1">
      <c r="C44" s="776">
        <v>4</v>
      </c>
      <c r="D44" s="548">
        <v>389</v>
      </c>
      <c r="E44" s="548">
        <v>253091</v>
      </c>
      <c r="F44" s="578">
        <f t="shared" ref="F44:F45" si="1">ROUND(D44/E44,3)</f>
        <v>2E-3</v>
      </c>
      <c r="G44" s="547">
        <v>210086</v>
      </c>
      <c r="H44" s="577">
        <f t="shared" ref="H44:H45" si="2">ROUND(F44*G44,0)</f>
        <v>420</v>
      </c>
      <c r="I44" s="578">
        <f t="shared" ref="I44:I45" si="3">ROUND(H44/G44,3)</f>
        <v>2E-3</v>
      </c>
      <c r="J44" s="1005">
        <f>ROUND((I44+I45+I46)/3,3)</f>
        <v>2E-3</v>
      </c>
      <c r="K44" s="1002">
        <v>4709495</v>
      </c>
      <c r="L44" s="986">
        <f>ROUNDDOWN(J44*K44,0)</f>
        <v>9418</v>
      </c>
      <c r="M44" s="1043">
        <v>0</v>
      </c>
    </row>
    <row r="45" spans="2:15" ht="12" customHeight="1">
      <c r="C45" s="776" t="s">
        <v>841</v>
      </c>
      <c r="D45" s="775">
        <v>349</v>
      </c>
      <c r="E45" s="775">
        <v>224770</v>
      </c>
      <c r="F45" s="580">
        <f t="shared" si="1"/>
        <v>2E-3</v>
      </c>
      <c r="G45" s="548">
        <v>179785</v>
      </c>
      <c r="H45" s="579">
        <f t="shared" si="2"/>
        <v>360</v>
      </c>
      <c r="I45" s="580">
        <f t="shared" si="3"/>
        <v>2E-3</v>
      </c>
      <c r="J45" s="1005"/>
      <c r="K45" s="1002"/>
      <c r="L45" s="986"/>
      <c r="M45" s="1044"/>
      <c r="O45" s="507" t="s">
        <v>720</v>
      </c>
    </row>
    <row r="46" spans="2:15" ht="12" customHeight="1">
      <c r="C46" s="777">
        <v>6</v>
      </c>
      <c r="D46" s="549">
        <v>247</v>
      </c>
      <c r="E46" s="549">
        <v>209991</v>
      </c>
      <c r="F46" s="582">
        <f t="shared" ref="F46:F51" si="4">ROUND(D46/E46,3)</f>
        <v>1E-3</v>
      </c>
      <c r="G46" s="549">
        <v>161196</v>
      </c>
      <c r="H46" s="581">
        <f t="shared" ref="H46:H55" si="5">ROUND(F46*G46,0)</f>
        <v>161</v>
      </c>
      <c r="I46" s="582">
        <f t="shared" ref="I46:I55" si="6">ROUND(H46/G46,3)</f>
        <v>1E-3</v>
      </c>
      <c r="J46" s="1006"/>
      <c r="K46" s="1003"/>
      <c r="L46" s="987"/>
      <c r="M46" s="1044"/>
      <c r="O46" s="507"/>
    </row>
    <row r="47" spans="2:15" ht="12" customHeight="1">
      <c r="C47" s="776">
        <v>4</v>
      </c>
      <c r="D47" s="548">
        <v>212978</v>
      </c>
      <c r="E47" s="548">
        <v>367223</v>
      </c>
      <c r="F47" s="578">
        <f t="shared" ref="F47:F48" si="7">ROUND(D47/E47,3)</f>
        <v>0.57999999999999996</v>
      </c>
      <c r="G47" s="547">
        <v>289796</v>
      </c>
      <c r="H47" s="577">
        <f t="shared" ref="H47" si="8">ROUND(F47*G47,0)</f>
        <v>168082</v>
      </c>
      <c r="I47" s="578">
        <f t="shared" ref="I47:I48" si="9">ROUND(H47/G47,3)</f>
        <v>0.57999999999999996</v>
      </c>
      <c r="J47" s="1004">
        <f>ROUND((I47+I48+I49)/3,3)</f>
        <v>0.60099999999999998</v>
      </c>
      <c r="K47" s="1001">
        <v>6312904</v>
      </c>
      <c r="L47" s="985">
        <f>ROUNDDOWN(J47*K47,0)</f>
        <v>3794055</v>
      </c>
      <c r="M47" s="1044">
        <f>I61</f>
        <v>3156452</v>
      </c>
      <c r="O47" s="507"/>
    </row>
    <row r="48" spans="2:15" ht="12" customHeight="1">
      <c r="C48" s="776" t="s">
        <v>842</v>
      </c>
      <c r="D48" s="775">
        <v>303431</v>
      </c>
      <c r="E48" s="775">
        <v>488896</v>
      </c>
      <c r="F48" s="580">
        <f t="shared" si="7"/>
        <v>0.621</v>
      </c>
      <c r="G48" s="548">
        <v>414393</v>
      </c>
      <c r="H48" s="579">
        <f>ROUND(F48*G48,0)</f>
        <v>257338</v>
      </c>
      <c r="I48" s="580">
        <f t="shared" si="9"/>
        <v>0.621</v>
      </c>
      <c r="J48" s="1005"/>
      <c r="K48" s="1002"/>
      <c r="L48" s="986"/>
      <c r="M48" s="1044"/>
      <c r="O48" s="507" t="s">
        <v>795</v>
      </c>
    </row>
    <row r="49" spans="3:15" ht="12" customHeight="1">
      <c r="C49" s="777">
        <v>6</v>
      </c>
      <c r="D49" s="549">
        <v>371879</v>
      </c>
      <c r="E49" s="549">
        <v>618755</v>
      </c>
      <c r="F49" s="582">
        <f>ROUND(D49/E49,3)</f>
        <v>0.60099999999999998</v>
      </c>
      <c r="G49" s="549">
        <v>547030</v>
      </c>
      <c r="H49" s="581">
        <f>ROUND(F49*G49,0)</f>
        <v>328765</v>
      </c>
      <c r="I49" s="582">
        <f>ROUND(H49/G49,3)</f>
        <v>0.60099999999999998</v>
      </c>
      <c r="J49" s="1006"/>
      <c r="K49" s="1003"/>
      <c r="L49" s="987"/>
      <c r="M49" s="1044"/>
      <c r="O49" s="507"/>
    </row>
    <row r="50" spans="3:15" ht="12" customHeight="1">
      <c r="C50" s="776">
        <v>4</v>
      </c>
      <c r="D50" s="547">
        <v>789925</v>
      </c>
      <c r="E50" s="547">
        <v>1350388</v>
      </c>
      <c r="F50" s="578">
        <f t="shared" si="4"/>
        <v>0.58499999999999996</v>
      </c>
      <c r="G50" s="547">
        <v>1138998</v>
      </c>
      <c r="H50" s="577">
        <f t="shared" ref="H50:H51" si="10">ROUND(F50*G50,0)</f>
        <v>666314</v>
      </c>
      <c r="I50" s="578">
        <f t="shared" ref="I50:I51" si="11">ROUND(H50/G50,3)</f>
        <v>0.58499999999999996</v>
      </c>
      <c r="J50" s="1004">
        <f>ROUND((I50+I51+I52)/3,3)</f>
        <v>0.621</v>
      </c>
      <c r="K50" s="1001">
        <v>11088241</v>
      </c>
      <c r="L50" s="985">
        <f>ROUNDDOWN(J50*K50,0)</f>
        <v>6885797</v>
      </c>
      <c r="M50" s="1044">
        <f>I68</f>
        <v>8044985</v>
      </c>
      <c r="O50" s="507"/>
    </row>
    <row r="51" spans="3:15" ht="12" customHeight="1">
      <c r="C51" s="776" t="s">
        <v>843</v>
      </c>
      <c r="D51" s="548">
        <v>781276</v>
      </c>
      <c r="E51" s="548">
        <v>1293363</v>
      </c>
      <c r="F51" s="580">
        <f t="shared" si="4"/>
        <v>0.60399999999999998</v>
      </c>
      <c r="G51" s="548">
        <v>1104536</v>
      </c>
      <c r="H51" s="579">
        <f t="shared" si="10"/>
        <v>667140</v>
      </c>
      <c r="I51" s="580">
        <f t="shared" si="11"/>
        <v>0.60399999999999998</v>
      </c>
      <c r="J51" s="1005"/>
      <c r="K51" s="1002"/>
      <c r="L51" s="986"/>
      <c r="M51" s="1044"/>
      <c r="O51" s="507" t="s">
        <v>777</v>
      </c>
    </row>
    <row r="52" spans="3:15" ht="12" customHeight="1">
      <c r="C52" s="777">
        <v>6</v>
      </c>
      <c r="D52" s="549">
        <v>814324</v>
      </c>
      <c r="E52" s="549">
        <v>1207532</v>
      </c>
      <c r="F52" s="582">
        <f t="shared" ref="F52:F55" si="12">ROUND(D52/E52,3)</f>
        <v>0.67400000000000004</v>
      </c>
      <c r="G52" s="549">
        <v>1034434</v>
      </c>
      <c r="H52" s="581">
        <f t="shared" si="5"/>
        <v>697209</v>
      </c>
      <c r="I52" s="582">
        <f>ROUND(H52/G52,3)</f>
        <v>0.67400000000000004</v>
      </c>
      <c r="J52" s="1006"/>
      <c r="K52" s="1003"/>
      <c r="L52" s="987"/>
      <c r="M52" s="1044"/>
      <c r="O52" s="507"/>
    </row>
    <row r="53" spans="3:15" ht="12" customHeight="1">
      <c r="C53" s="776">
        <v>4</v>
      </c>
      <c r="D53" s="547">
        <v>16965</v>
      </c>
      <c r="E53" s="547">
        <v>72706</v>
      </c>
      <c r="F53" s="578">
        <f t="shared" ref="F53:F54" si="13">ROUND(D53/E53,3)</f>
        <v>0.23300000000000001</v>
      </c>
      <c r="G53" s="547">
        <v>62131</v>
      </c>
      <c r="H53" s="577">
        <f t="shared" ref="H53:H54" si="14">ROUND(F53*G53,0)</f>
        <v>14477</v>
      </c>
      <c r="I53" s="578">
        <f t="shared" ref="I53:I54" si="15">ROUND(H53/G53,3)</f>
        <v>0.23300000000000001</v>
      </c>
      <c r="J53" s="1004">
        <f>ROUND((I53+I54+I55)/3,3)</f>
        <v>0.46800000000000003</v>
      </c>
      <c r="K53" s="1001">
        <v>419852</v>
      </c>
      <c r="L53" s="988">
        <f>ROUNDDOWN(J53*K53,0)</f>
        <v>196490</v>
      </c>
      <c r="M53" s="1035">
        <f>I70</f>
        <v>418172</v>
      </c>
      <c r="O53" s="507"/>
    </row>
    <row r="54" spans="3:15" ht="12" customHeight="1">
      <c r="C54" s="776" t="s">
        <v>844</v>
      </c>
      <c r="D54" s="548">
        <v>13578</v>
      </c>
      <c r="E54" s="548">
        <v>70967</v>
      </c>
      <c r="F54" s="580">
        <f t="shared" si="13"/>
        <v>0.191</v>
      </c>
      <c r="G54" s="548">
        <v>61805</v>
      </c>
      <c r="H54" s="579">
        <f t="shared" si="14"/>
        <v>11805</v>
      </c>
      <c r="I54" s="580">
        <f t="shared" si="15"/>
        <v>0.191</v>
      </c>
      <c r="J54" s="1005"/>
      <c r="K54" s="1002"/>
      <c r="L54" s="989"/>
      <c r="M54" s="1035"/>
      <c r="O54" s="507" t="s">
        <v>795</v>
      </c>
    </row>
    <row r="55" spans="3:15" ht="12" customHeight="1">
      <c r="C55" s="777">
        <v>6</v>
      </c>
      <c r="D55" s="549">
        <v>66778</v>
      </c>
      <c r="E55" s="549">
        <v>68120</v>
      </c>
      <c r="F55" s="582">
        <f t="shared" si="12"/>
        <v>0.98</v>
      </c>
      <c r="G55" s="549">
        <v>60048</v>
      </c>
      <c r="H55" s="581">
        <f t="shared" si="5"/>
        <v>58847</v>
      </c>
      <c r="I55" s="582">
        <f t="shared" si="6"/>
        <v>0.98</v>
      </c>
      <c r="J55" s="1006"/>
      <c r="K55" s="1003"/>
      <c r="L55" s="990"/>
      <c r="M55" s="1035"/>
      <c r="O55" s="507"/>
    </row>
    <row r="56" spans="3:15" ht="9.75" customHeight="1">
      <c r="L56" s="1036" t="s">
        <v>268</v>
      </c>
      <c r="M56" s="1038">
        <f>L44+L47+L50+M53</f>
        <v>11107442</v>
      </c>
    </row>
    <row r="57" spans="3:15" ht="16.5" customHeight="1">
      <c r="C57" s="134" t="s">
        <v>256</v>
      </c>
      <c r="E57" s="390"/>
      <c r="L57" s="1037"/>
      <c r="M57" s="1039"/>
    </row>
    <row r="58" spans="3:15" ht="15" customHeight="1">
      <c r="C58" s="134"/>
      <c r="D58" s="416" t="s">
        <v>254</v>
      </c>
      <c r="E58" s="1019" t="s">
        <v>258</v>
      </c>
      <c r="F58" s="1019"/>
      <c r="G58" s="301" t="s">
        <v>457</v>
      </c>
      <c r="H58" s="301" t="s">
        <v>257</v>
      </c>
      <c r="I58" s="301" t="s">
        <v>255</v>
      </c>
    </row>
    <row r="59" spans="3:15" ht="15" customHeight="1">
      <c r="C59" s="134"/>
      <c r="D59" s="1029" t="s">
        <v>259</v>
      </c>
      <c r="E59" s="1031" t="s">
        <v>260</v>
      </c>
      <c r="F59" s="1031"/>
      <c r="G59" s="417">
        <v>0</v>
      </c>
      <c r="H59" s="418">
        <v>0.66666666666666663</v>
      </c>
      <c r="I59" s="417">
        <f>ROUNDDOWN(G59*H59,0)</f>
        <v>0</v>
      </c>
    </row>
    <row r="60" spans="3:15" ht="15" customHeight="1">
      <c r="C60" s="134"/>
      <c r="D60" s="1029"/>
      <c r="E60" s="1028" t="s">
        <v>261</v>
      </c>
      <c r="F60" s="1028"/>
      <c r="G60" s="550">
        <v>6312904</v>
      </c>
      <c r="H60" s="420">
        <v>0.5</v>
      </c>
      <c r="I60" s="419">
        <f>ROUNDDOWN(G60*H60,0)</f>
        <v>3156452</v>
      </c>
      <c r="J60" s="390"/>
    </row>
    <row r="61" spans="3:15" ht="15" customHeight="1">
      <c r="C61" s="134"/>
      <c r="D61" s="1029"/>
      <c r="E61" s="1030" t="s">
        <v>132</v>
      </c>
      <c r="F61" s="1030"/>
      <c r="G61" s="262">
        <f>SUM(G59:G60)</f>
        <v>6312904</v>
      </c>
      <c r="H61" s="421"/>
      <c r="I61" s="262">
        <f>SUM(I59:I60)</f>
        <v>3156452</v>
      </c>
    </row>
    <row r="62" spans="3:15" ht="15" customHeight="1">
      <c r="C62" s="134"/>
      <c r="D62" s="1029" t="s">
        <v>262</v>
      </c>
      <c r="E62" s="1031" t="s">
        <v>263</v>
      </c>
      <c r="F62" s="1031"/>
      <c r="G62" s="551">
        <v>10078605</v>
      </c>
      <c r="H62" s="552">
        <v>0.122</v>
      </c>
      <c r="I62" s="417">
        <f t="shared" ref="I62:I67" si="16">ROUNDDOWN(G62*H62,0)</f>
        <v>1229589</v>
      </c>
    </row>
    <row r="63" spans="3:15" ht="15" customHeight="1">
      <c r="C63" s="134"/>
      <c r="D63" s="1029"/>
      <c r="E63" s="1028" t="s">
        <v>264</v>
      </c>
      <c r="F63" s="1028"/>
      <c r="G63" s="419">
        <f>+G62</f>
        <v>10078605</v>
      </c>
      <c r="H63" s="553">
        <v>0.60599999999999998</v>
      </c>
      <c r="I63" s="419">
        <f>ROUNDDOWN(G63*H63,0)</f>
        <v>6107634</v>
      </c>
    </row>
    <row r="64" spans="3:15" ht="15" customHeight="1">
      <c r="C64" s="134"/>
      <c r="D64" s="1029"/>
      <c r="E64" s="1028" t="s">
        <v>265</v>
      </c>
      <c r="F64" s="1028"/>
      <c r="G64" s="550">
        <v>321680</v>
      </c>
      <c r="H64" s="422">
        <v>1</v>
      </c>
      <c r="I64" s="419">
        <f t="shared" si="16"/>
        <v>321680</v>
      </c>
    </row>
    <row r="65" spans="2:13" ht="15" customHeight="1">
      <c r="C65" s="134"/>
      <c r="D65" s="1029"/>
      <c r="E65" s="1028" t="s">
        <v>266</v>
      </c>
      <c r="F65" s="1028"/>
      <c r="G65" s="550">
        <v>670831</v>
      </c>
      <c r="H65" s="423">
        <v>0.55000000000000004</v>
      </c>
      <c r="I65" s="419">
        <f t="shared" si="16"/>
        <v>368957</v>
      </c>
      <c r="J65" s="518"/>
    </row>
    <row r="66" spans="2:13" ht="15" customHeight="1">
      <c r="C66" s="134"/>
      <c r="D66" s="1029"/>
      <c r="E66" s="1032" t="s">
        <v>743</v>
      </c>
      <c r="F66" s="1032"/>
      <c r="G66" s="550">
        <v>16375</v>
      </c>
      <c r="H66" s="422">
        <v>1</v>
      </c>
      <c r="I66" s="419">
        <f t="shared" si="16"/>
        <v>16375</v>
      </c>
      <c r="J66" s="390"/>
    </row>
    <row r="67" spans="2:13" ht="15" customHeight="1">
      <c r="C67" s="134"/>
      <c r="D67" s="1029"/>
      <c r="E67" s="1032" t="s">
        <v>267</v>
      </c>
      <c r="F67" s="1032"/>
      <c r="G67" s="550">
        <v>750</v>
      </c>
      <c r="H67" s="422">
        <v>1</v>
      </c>
      <c r="I67" s="419">
        <f t="shared" si="16"/>
        <v>750</v>
      </c>
    </row>
    <row r="68" spans="2:13" ht="15" customHeight="1">
      <c r="C68" s="134"/>
      <c r="D68" s="1029"/>
      <c r="E68" s="1030" t="s">
        <v>132</v>
      </c>
      <c r="F68" s="1030"/>
      <c r="G68" s="262">
        <f>SUM(G63:G67)</f>
        <v>11088241</v>
      </c>
      <c r="H68" s="262"/>
      <c r="I68" s="262">
        <f>SUM(I62:I67)</f>
        <v>8044985</v>
      </c>
    </row>
    <row r="69" spans="2:13" ht="15" customHeight="1">
      <c r="C69" s="134"/>
      <c r="D69" s="1033" t="s">
        <v>741</v>
      </c>
      <c r="E69" s="1028" t="s">
        <v>264</v>
      </c>
      <c r="F69" s="1028"/>
      <c r="G69" s="550">
        <v>419852</v>
      </c>
      <c r="H69" s="553">
        <v>0.996</v>
      </c>
      <c r="I69" s="417">
        <f>ROUNDDOWN(G69*H69,0)</f>
        <v>418172</v>
      </c>
    </row>
    <row r="70" spans="2:13" ht="15" customHeight="1">
      <c r="C70" s="134"/>
      <c r="D70" s="1034"/>
      <c r="E70" s="1030" t="s">
        <v>132</v>
      </c>
      <c r="F70" s="1030"/>
      <c r="G70" s="262">
        <f>SUM(G69)</f>
        <v>419852</v>
      </c>
      <c r="H70" s="262"/>
      <c r="I70" s="262">
        <f>SUM(I69:I69)</f>
        <v>418172</v>
      </c>
    </row>
    <row r="71" spans="2:13" ht="16.5" customHeight="1">
      <c r="C71" s="134"/>
    </row>
    <row r="72" spans="2:13" ht="16.5" customHeight="1">
      <c r="C72" s="134" t="s">
        <v>269</v>
      </c>
    </row>
    <row r="73" spans="2:13" ht="28.5" customHeight="1">
      <c r="C73" s="424" t="s">
        <v>275</v>
      </c>
      <c r="D73" s="425" t="s">
        <v>272</v>
      </c>
      <c r="E73" s="426" t="s">
        <v>273</v>
      </c>
      <c r="F73" s="426" t="s">
        <v>274</v>
      </c>
      <c r="G73" s="187" t="s">
        <v>73</v>
      </c>
      <c r="H73" s="390"/>
    </row>
    <row r="74" spans="2:13" ht="17.25" customHeight="1">
      <c r="C74" s="424" t="s">
        <v>270</v>
      </c>
      <c r="D74" s="781">
        <v>917</v>
      </c>
      <c r="E74" s="521">
        <v>5270416</v>
      </c>
      <c r="F74" s="521">
        <v>624653</v>
      </c>
      <c r="G74" s="1012">
        <f>SUM(E74:F75)</f>
        <v>5923354</v>
      </c>
    </row>
    <row r="75" spans="2:13" ht="17.25" customHeight="1">
      <c r="C75" s="424" t="s">
        <v>271</v>
      </c>
      <c r="D75" s="781">
        <v>3</v>
      </c>
      <c r="E75" s="521">
        <v>28285</v>
      </c>
      <c r="F75" s="521">
        <v>0</v>
      </c>
      <c r="G75" s="1012"/>
    </row>
    <row r="76" spans="2:13" ht="16.5" customHeight="1">
      <c r="C76" s="134"/>
    </row>
    <row r="77" spans="2:13" ht="16.5" customHeight="1" thickBot="1">
      <c r="B77" s="186" t="s">
        <v>276</v>
      </c>
      <c r="C77" s="134"/>
      <c r="D77" s="113" t="s">
        <v>279</v>
      </c>
      <c r="L77" s="390"/>
      <c r="M77" s="114"/>
    </row>
    <row r="78" spans="2:13" ht="25.5" customHeight="1">
      <c r="C78" s="427" t="s">
        <v>277</v>
      </c>
      <c r="D78" s="374" t="s">
        <v>346</v>
      </c>
      <c r="E78" s="374" t="s">
        <v>278</v>
      </c>
      <c r="F78" s="428" t="s">
        <v>280</v>
      </c>
      <c r="G78" s="428" t="s">
        <v>281</v>
      </c>
      <c r="H78" s="428" t="s">
        <v>282</v>
      </c>
      <c r="I78" s="569" t="s">
        <v>792</v>
      </c>
      <c r="J78" s="375" t="s">
        <v>283</v>
      </c>
      <c r="K78" s="429" t="s">
        <v>284</v>
      </c>
      <c r="L78" s="233" t="s">
        <v>285</v>
      </c>
      <c r="M78" s="114"/>
    </row>
    <row r="79" spans="2:13" s="118" customFormat="1" ht="16.5" customHeight="1">
      <c r="B79" s="189"/>
      <c r="C79" s="430" t="s">
        <v>74</v>
      </c>
      <c r="D79" s="412" t="s">
        <v>54</v>
      </c>
      <c r="E79" s="412" t="s">
        <v>39</v>
      </c>
      <c r="F79" s="412" t="s">
        <v>55</v>
      </c>
      <c r="G79" s="413" t="s">
        <v>56</v>
      </c>
      <c r="H79" s="413" t="s">
        <v>57</v>
      </c>
      <c r="I79" s="413" t="s">
        <v>57</v>
      </c>
      <c r="J79" s="413" t="s">
        <v>75</v>
      </c>
      <c r="K79" s="414" t="s">
        <v>76</v>
      </c>
      <c r="L79" s="234" t="s">
        <v>421</v>
      </c>
      <c r="M79" s="227"/>
    </row>
    <row r="80" spans="2:13" ht="21.75" customHeight="1" thickBot="1">
      <c r="C80" s="782">
        <v>17523234</v>
      </c>
      <c r="D80" s="783">
        <v>0</v>
      </c>
      <c r="E80" s="783">
        <v>0</v>
      </c>
      <c r="F80" s="783">
        <v>0</v>
      </c>
      <c r="G80" s="783">
        <v>0</v>
      </c>
      <c r="H80" s="783">
        <v>0</v>
      </c>
      <c r="I80" s="783">
        <v>2648563</v>
      </c>
      <c r="J80" s="783">
        <v>0</v>
      </c>
      <c r="K80" s="784">
        <v>294151</v>
      </c>
      <c r="L80" s="190">
        <f>C80-SUM(D80:K80)</f>
        <v>14580520</v>
      </c>
      <c r="M80" s="114"/>
    </row>
    <row r="81" spans="2:13" ht="16.5" customHeight="1">
      <c r="C81" s="134"/>
    </row>
    <row r="82" spans="2:13" ht="16.5" customHeight="1">
      <c r="B82" s="186" t="s">
        <v>286</v>
      </c>
      <c r="C82" s="134"/>
      <c r="D82" s="113" t="s">
        <v>287</v>
      </c>
      <c r="M82" s="390"/>
    </row>
    <row r="83" spans="2:13" ht="16.5" customHeight="1">
      <c r="B83" s="186"/>
      <c r="C83" s="134"/>
      <c r="D83" s="113" t="s">
        <v>288</v>
      </c>
    </row>
    <row r="84" spans="2:13" ht="16.5" customHeight="1">
      <c r="B84" s="112" t="s">
        <v>54</v>
      </c>
      <c r="C84" s="134" t="s">
        <v>297</v>
      </c>
      <c r="D84" s="431"/>
    </row>
    <row r="85" spans="2:13" ht="16.5" customHeight="1">
      <c r="C85" s="1025"/>
      <c r="D85" s="1025" t="s">
        <v>289</v>
      </c>
      <c r="E85" s="1020" t="s">
        <v>290</v>
      </c>
      <c r="F85" s="1019" t="s">
        <v>292</v>
      </c>
      <c r="G85" s="1019"/>
      <c r="H85" s="1019"/>
      <c r="I85" s="1019"/>
      <c r="J85" s="1019"/>
      <c r="K85" s="1019" t="s">
        <v>291</v>
      </c>
      <c r="L85" s="1019" t="s">
        <v>298</v>
      </c>
      <c r="M85" s="1019" t="s">
        <v>299</v>
      </c>
    </row>
    <row r="86" spans="2:13" ht="35.25" customHeight="1">
      <c r="C86" s="1025"/>
      <c r="D86" s="1027"/>
      <c r="E86" s="1021"/>
      <c r="F86" s="432" t="s">
        <v>293</v>
      </c>
      <c r="G86" s="432" t="s">
        <v>302</v>
      </c>
      <c r="H86" s="433" t="s">
        <v>294</v>
      </c>
      <c r="I86" s="433" t="s">
        <v>295</v>
      </c>
      <c r="J86" s="407" t="s">
        <v>296</v>
      </c>
      <c r="K86" s="1024"/>
      <c r="L86" s="1024"/>
      <c r="M86" s="1024"/>
    </row>
    <row r="87" spans="2:13" ht="15" customHeight="1">
      <c r="C87" s="1025"/>
      <c r="D87" s="415" t="s">
        <v>74</v>
      </c>
      <c r="E87" s="412" t="s">
        <v>75</v>
      </c>
      <c r="F87" s="434" t="s">
        <v>76</v>
      </c>
      <c r="G87" s="435" t="s">
        <v>77</v>
      </c>
      <c r="H87" s="436" t="s">
        <v>78</v>
      </c>
      <c r="I87" s="436" t="s">
        <v>79</v>
      </c>
      <c r="J87" s="413" t="s">
        <v>80</v>
      </c>
      <c r="K87" s="413" t="s">
        <v>81</v>
      </c>
      <c r="L87" s="413" t="s">
        <v>82</v>
      </c>
      <c r="M87" s="413" t="s">
        <v>83</v>
      </c>
    </row>
    <row r="88" spans="2:13" ht="16.5" customHeight="1">
      <c r="C88" s="554" t="s">
        <v>785</v>
      </c>
      <c r="D88" s="521">
        <v>908973</v>
      </c>
      <c r="E88" s="521">
        <v>488038</v>
      </c>
      <c r="F88" s="521">
        <v>191975</v>
      </c>
      <c r="G88" s="521">
        <v>0</v>
      </c>
      <c r="H88" s="521">
        <v>595264</v>
      </c>
      <c r="I88" s="521">
        <v>0</v>
      </c>
      <c r="J88" s="572">
        <f>SUM(F88:I88)</f>
        <v>787239</v>
      </c>
      <c r="K88" s="521">
        <v>15650</v>
      </c>
      <c r="L88" s="437">
        <f>ROUND(D88/(E88+J88-K88),3)</f>
        <v>0.72199999999999998</v>
      </c>
      <c r="M88" s="1026">
        <f>ROUND(SUM(L88:L90)/3,3)</f>
        <v>0.69499999999999995</v>
      </c>
    </row>
    <row r="89" spans="2:13" ht="16.5" customHeight="1">
      <c r="C89" s="554" t="s">
        <v>796</v>
      </c>
      <c r="D89" s="521">
        <v>912964</v>
      </c>
      <c r="E89" s="521">
        <v>618707</v>
      </c>
      <c r="F89" s="521">
        <v>164022</v>
      </c>
      <c r="G89" s="521">
        <v>0</v>
      </c>
      <c r="H89" s="521">
        <v>596793</v>
      </c>
      <c r="I89" s="521">
        <v>0</v>
      </c>
      <c r="J89" s="572">
        <f>SUM(F89:I89)</f>
        <v>760815</v>
      </c>
      <c r="K89" s="521">
        <v>28478</v>
      </c>
      <c r="L89" s="437">
        <f>ROUND(D89/(E89+J89-K89),3)</f>
        <v>0.67600000000000005</v>
      </c>
      <c r="M89" s="1026"/>
    </row>
    <row r="90" spans="2:13" ht="16.5" customHeight="1">
      <c r="C90" s="554" t="s">
        <v>839</v>
      </c>
      <c r="D90" s="521">
        <v>915909</v>
      </c>
      <c r="E90" s="521">
        <v>623224</v>
      </c>
      <c r="F90" s="521">
        <v>116773</v>
      </c>
      <c r="G90" s="521">
        <v>0</v>
      </c>
      <c r="H90" s="521">
        <v>624900</v>
      </c>
      <c r="I90" s="521">
        <v>0</v>
      </c>
      <c r="J90" s="765">
        <f>SUM(F90:I90)</f>
        <v>741673</v>
      </c>
      <c r="K90" s="521">
        <v>31945</v>
      </c>
      <c r="L90" s="437">
        <f>ROUND(D90/(E90+J90-K90),3)</f>
        <v>0.68700000000000006</v>
      </c>
      <c r="M90" s="1026"/>
    </row>
    <row r="91" spans="2:13" ht="16.5" customHeight="1" thickBot="1">
      <c r="C91" s="134"/>
    </row>
    <row r="92" spans="2:13" ht="16.5" customHeight="1">
      <c r="C92" s="1016" t="s">
        <v>300</v>
      </c>
      <c r="D92" s="1017"/>
      <c r="E92" s="1017"/>
      <c r="F92" s="1017"/>
      <c r="G92" s="1018"/>
      <c r="H92" s="1022" t="s">
        <v>301</v>
      </c>
      <c r="L92" s="895"/>
      <c r="M92" s="895"/>
    </row>
    <row r="93" spans="2:13" ht="35.25" customHeight="1">
      <c r="C93" s="438" t="s">
        <v>293</v>
      </c>
      <c r="D93" s="432" t="s">
        <v>302</v>
      </c>
      <c r="E93" s="433" t="s">
        <v>294</v>
      </c>
      <c r="F93" s="433" t="s">
        <v>295</v>
      </c>
      <c r="G93" s="409" t="s">
        <v>296</v>
      </c>
      <c r="H93" s="1023"/>
      <c r="L93" s="895"/>
      <c r="M93" s="895"/>
    </row>
    <row r="94" spans="2:13" ht="15" customHeight="1">
      <c r="C94" s="439" t="s">
        <v>84</v>
      </c>
      <c r="D94" s="435" t="s">
        <v>85</v>
      </c>
      <c r="E94" s="435" t="s">
        <v>86</v>
      </c>
      <c r="F94" s="435" t="s">
        <v>87</v>
      </c>
      <c r="G94" s="414" t="s">
        <v>88</v>
      </c>
      <c r="H94" s="234" t="s">
        <v>89</v>
      </c>
      <c r="L94" s="227"/>
      <c r="M94" s="227"/>
    </row>
    <row r="95" spans="2:13" ht="25.5" customHeight="1" thickBot="1">
      <c r="C95" s="557">
        <v>211975</v>
      </c>
      <c r="D95" s="558">
        <v>0</v>
      </c>
      <c r="E95" s="558">
        <v>7629848</v>
      </c>
      <c r="F95" s="508">
        <v>0</v>
      </c>
      <c r="G95" s="142">
        <f>SUM(C95:F95)</f>
        <v>7841823</v>
      </c>
      <c r="H95" s="191">
        <f>G95*M88</f>
        <v>5450066.9849999994</v>
      </c>
    </row>
    <row r="96" spans="2:13" ht="16.5" customHeight="1">
      <c r="C96" s="134"/>
    </row>
    <row r="97" spans="2:16" ht="16.5" customHeight="1">
      <c r="B97" s="112" t="s">
        <v>39</v>
      </c>
      <c r="C97" s="134" t="s">
        <v>422</v>
      </c>
      <c r="H97" s="559">
        <v>343918</v>
      </c>
      <c r="J97" s="372" t="s">
        <v>737</v>
      </c>
      <c r="K97" s="174">
        <f>H95+H97</f>
        <v>5793984.9849999994</v>
      </c>
      <c r="P97" s="793">
        <v>3514155</v>
      </c>
    </row>
    <row r="98" spans="2:16" ht="16.5" customHeight="1">
      <c r="C98" s="134"/>
    </row>
    <row r="99" spans="2:16" ht="16.5" customHeight="1" thickBot="1">
      <c r="B99" s="186" t="s">
        <v>0</v>
      </c>
      <c r="C99" s="134"/>
      <c r="F99" s="114" t="s">
        <v>308</v>
      </c>
      <c r="L99" s="390"/>
    </row>
    <row r="100" spans="2:16" s="112" customFormat="1" ht="16.5" customHeight="1">
      <c r="C100" s="785" t="s">
        <v>304</v>
      </c>
      <c r="D100" s="786" t="s">
        <v>309</v>
      </c>
      <c r="E100" s="787" t="s">
        <v>310</v>
      </c>
      <c r="F100" s="786" t="s">
        <v>311</v>
      </c>
      <c r="G100" s="786" t="s">
        <v>312</v>
      </c>
      <c r="H100" s="786" t="s">
        <v>313</v>
      </c>
      <c r="I100" s="786" t="s">
        <v>314</v>
      </c>
      <c r="J100" s="786" t="s">
        <v>315</v>
      </c>
      <c r="K100" s="786" t="s">
        <v>316</v>
      </c>
      <c r="L100" s="787" t="s">
        <v>317</v>
      </c>
      <c r="M100" s="788" t="s">
        <v>318</v>
      </c>
    </row>
    <row r="101" spans="2:16" s="114" customFormat="1" ht="16.5" customHeight="1" thickBot="1">
      <c r="B101" s="440"/>
      <c r="C101" s="792" t="s">
        <v>305</v>
      </c>
      <c r="D101" s="558">
        <v>0</v>
      </c>
      <c r="E101" s="558">
        <v>70463</v>
      </c>
      <c r="F101" s="558">
        <v>0</v>
      </c>
      <c r="G101" s="558">
        <v>0</v>
      </c>
      <c r="H101" s="558">
        <v>0</v>
      </c>
      <c r="I101" s="558">
        <v>3514155</v>
      </c>
      <c r="J101" s="558">
        <v>10717</v>
      </c>
      <c r="K101" s="558">
        <v>120564</v>
      </c>
      <c r="L101" s="558">
        <v>16513</v>
      </c>
      <c r="M101" s="560">
        <v>0</v>
      </c>
    </row>
    <row r="102" spans="2:16" s="444" customFormat="1" ht="16.5" customHeight="1">
      <c r="B102" s="441"/>
      <c r="C102" s="561"/>
      <c r="D102" s="562"/>
      <c r="E102" s="562"/>
      <c r="F102" s="562"/>
      <c r="G102" s="562"/>
      <c r="H102" s="562"/>
      <c r="I102" s="562"/>
      <c r="J102" s="562"/>
      <c r="K102" s="562"/>
      <c r="L102" s="562"/>
      <c r="M102" s="562"/>
    </row>
    <row r="103" spans="2:16" ht="16.5" customHeight="1" thickBot="1">
      <c r="C103" s="302"/>
      <c r="D103" s="273"/>
      <c r="E103" s="274"/>
      <c r="F103" s="274"/>
      <c r="G103" s="274"/>
      <c r="H103" s="274"/>
      <c r="I103" s="274"/>
      <c r="J103" s="274"/>
      <c r="K103" s="274"/>
      <c r="L103" s="274"/>
      <c r="M103" s="275"/>
    </row>
    <row r="104" spans="2:16" s="112" customFormat="1" ht="16.5" customHeight="1">
      <c r="C104" s="785" t="s">
        <v>304</v>
      </c>
      <c r="D104" s="787" t="s">
        <v>319</v>
      </c>
      <c r="E104" s="787" t="s">
        <v>320</v>
      </c>
      <c r="F104" s="787" t="s">
        <v>845</v>
      </c>
      <c r="G104" s="789" t="s">
        <v>321</v>
      </c>
      <c r="H104" s="787" t="s">
        <v>322</v>
      </c>
      <c r="I104" s="787" t="s">
        <v>323</v>
      </c>
      <c r="J104" s="787" t="s">
        <v>324</v>
      </c>
      <c r="K104" s="787" t="s">
        <v>325</v>
      </c>
      <c r="L104" s="790" t="s">
        <v>326</v>
      </c>
      <c r="M104" s="791" t="s">
        <v>327</v>
      </c>
    </row>
    <row r="105" spans="2:16" s="114" customFormat="1" ht="16.5" customHeight="1" thickBot="1">
      <c r="B105" s="440"/>
      <c r="C105" s="792" t="s">
        <v>305</v>
      </c>
      <c r="D105" s="558">
        <v>0</v>
      </c>
      <c r="E105" s="558">
        <v>1894327</v>
      </c>
      <c r="F105" s="558">
        <v>148500</v>
      </c>
      <c r="G105" s="558">
        <v>0</v>
      </c>
      <c r="H105" s="558">
        <v>298660</v>
      </c>
      <c r="I105" s="558">
        <v>12432</v>
      </c>
      <c r="J105" s="558">
        <v>0</v>
      </c>
      <c r="K105" s="558">
        <v>464963</v>
      </c>
      <c r="L105" s="563">
        <v>32532332</v>
      </c>
      <c r="M105" s="191">
        <f>SUM(D101:M101,D105:L105)</f>
        <v>39083626</v>
      </c>
    </row>
    <row r="106" spans="2:16" s="444" customFormat="1" ht="16.5" customHeight="1">
      <c r="B106" s="441"/>
      <c r="C106" s="442"/>
      <c r="D106" s="443"/>
      <c r="E106" s="443"/>
      <c r="F106" s="443"/>
      <c r="G106" s="443"/>
      <c r="H106" s="443"/>
      <c r="I106" s="443"/>
      <c r="J106" s="443"/>
      <c r="K106" s="443"/>
      <c r="L106" s="443"/>
      <c r="M106" s="443"/>
    </row>
    <row r="107" spans="2:16" ht="16.5" customHeight="1">
      <c r="C107" s="134"/>
    </row>
    <row r="108" spans="2:16" ht="17.25" customHeight="1">
      <c r="B108" s="186" t="s">
        <v>90</v>
      </c>
      <c r="C108" s="134"/>
      <c r="G108" s="114" t="s">
        <v>328</v>
      </c>
      <c r="J108" s="445"/>
    </row>
    <row r="109" spans="2:16" ht="16.5" customHeight="1">
      <c r="C109" s="134"/>
    </row>
    <row r="110" spans="2:16" ht="16.5" customHeight="1"/>
    <row r="111" spans="2:16" ht="16.5" customHeight="1"/>
    <row r="112" spans="2:16" ht="16.5" customHeight="1"/>
    <row r="202" spans="5:5" ht="25.5" customHeight="1">
      <c r="E202" s="515"/>
    </row>
  </sheetData>
  <mergeCells count="83">
    <mergeCell ref="G26:I26"/>
    <mergeCell ref="G24:I24"/>
    <mergeCell ref="G25:I25"/>
    <mergeCell ref="G27:I27"/>
    <mergeCell ref="G28:I28"/>
    <mergeCell ref="B2:D2"/>
    <mergeCell ref="C9:D10"/>
    <mergeCell ref="C22:D23"/>
    <mergeCell ref="E22:E23"/>
    <mergeCell ref="E9:K9"/>
    <mergeCell ref="E10:K10"/>
    <mergeCell ref="F22:F23"/>
    <mergeCell ref="G22:K22"/>
    <mergeCell ref="K13:K14"/>
    <mergeCell ref="B4:C6"/>
    <mergeCell ref="D4:D6"/>
    <mergeCell ref="C31:D37"/>
    <mergeCell ref="E31:E37"/>
    <mergeCell ref="F31:F37"/>
    <mergeCell ref="G36:I36"/>
    <mergeCell ref="G37:I37"/>
    <mergeCell ref="G32:I32"/>
    <mergeCell ref="G31:I31"/>
    <mergeCell ref="M53:M55"/>
    <mergeCell ref="L56:L57"/>
    <mergeCell ref="M56:M57"/>
    <mergeCell ref="E58:F58"/>
    <mergeCell ref="C38:D38"/>
    <mergeCell ref="G38:K38"/>
    <mergeCell ref="C42:C43"/>
    <mergeCell ref="M44:M46"/>
    <mergeCell ref="M47:M49"/>
    <mergeCell ref="M50:M52"/>
    <mergeCell ref="K44:K46"/>
    <mergeCell ref="L44:L46"/>
    <mergeCell ref="J47:J49"/>
    <mergeCell ref="K47:K49"/>
    <mergeCell ref="L47:L49"/>
    <mergeCell ref="J44:J46"/>
    <mergeCell ref="G74:G75"/>
    <mergeCell ref="E64:F64"/>
    <mergeCell ref="D59:D61"/>
    <mergeCell ref="E61:F61"/>
    <mergeCell ref="E60:F60"/>
    <mergeCell ref="E62:F62"/>
    <mergeCell ref="E59:F59"/>
    <mergeCell ref="E70:F70"/>
    <mergeCell ref="D62:D68"/>
    <mergeCell ref="E67:F67"/>
    <mergeCell ref="E68:F68"/>
    <mergeCell ref="E69:F69"/>
    <mergeCell ref="E65:F65"/>
    <mergeCell ref="D69:D70"/>
    <mergeCell ref="E63:F63"/>
    <mergeCell ref="E66:F66"/>
    <mergeCell ref="L92:L93"/>
    <mergeCell ref="M92:M93"/>
    <mergeCell ref="C92:G92"/>
    <mergeCell ref="F85:J85"/>
    <mergeCell ref="E85:E86"/>
    <mergeCell ref="H92:H93"/>
    <mergeCell ref="M85:M86"/>
    <mergeCell ref="C85:C87"/>
    <mergeCell ref="M88:M90"/>
    <mergeCell ref="K85:K86"/>
    <mergeCell ref="L85:L86"/>
    <mergeCell ref="D85:D86"/>
    <mergeCell ref="L50:L52"/>
    <mergeCell ref="L53:L55"/>
    <mergeCell ref="L4:L5"/>
    <mergeCell ref="E4:E5"/>
    <mergeCell ref="F4:H4"/>
    <mergeCell ref="I4:J4"/>
    <mergeCell ref="K4:K5"/>
    <mergeCell ref="K50:K52"/>
    <mergeCell ref="J53:J55"/>
    <mergeCell ref="K53:K55"/>
    <mergeCell ref="J50:J52"/>
    <mergeCell ref="G33:I33"/>
    <mergeCell ref="G34:I34"/>
    <mergeCell ref="G35:I35"/>
    <mergeCell ref="G29:I29"/>
    <mergeCell ref="G30:I30"/>
  </mergeCells>
  <phoneticPr fontId="2"/>
  <pageMargins left="0.78740157480314965" right="0.35433070866141736" top="0.78740157480314965" bottom="0.59055118110236227" header="0.70866141732283472" footer="0.11811023622047245"/>
  <pageSetup paperSize="9" scale="85" orientation="landscape" r:id="rId1"/>
  <headerFooter alignWithMargins="0">
    <oddHeader>&amp;R&amp;8&amp;D</oddHeader>
    <oddFooter>&amp;R&amp;8&amp;Z&amp;F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02"/>
  <sheetViews>
    <sheetView topLeftCell="B1" workbookViewId="0">
      <selection activeCell="B3" sqref="B3:E3"/>
    </sheetView>
  </sheetViews>
  <sheetFormatPr defaultRowHeight="12"/>
  <cols>
    <col min="1" max="1" width="1.375" style="115" customWidth="1"/>
    <col min="2" max="2" width="4.75" style="115" customWidth="1"/>
    <col min="3" max="13" width="13.125" style="115" customWidth="1"/>
    <col min="14" max="14" width="1" style="115" customWidth="1"/>
    <col min="15" max="16384" width="9" style="115"/>
  </cols>
  <sheetData>
    <row r="1" spans="2:12" ht="10.5" customHeight="1">
      <c r="B1" s="112"/>
      <c r="C1" s="112"/>
      <c r="D1" s="113"/>
      <c r="E1" s="114"/>
      <c r="F1" s="114"/>
      <c r="G1" s="114"/>
      <c r="H1" s="114"/>
      <c r="I1" s="114"/>
      <c r="J1" s="114"/>
      <c r="K1" s="114"/>
    </row>
    <row r="2" spans="2:12" ht="20.25" customHeight="1">
      <c r="B2" s="940" t="s">
        <v>207</v>
      </c>
      <c r="C2" s="940"/>
      <c r="D2" s="940"/>
      <c r="E2" s="1097" t="s">
        <v>237</v>
      </c>
      <c r="F2" s="1097"/>
      <c r="G2" s="1097"/>
      <c r="H2" s="1097"/>
      <c r="I2" s="1097"/>
      <c r="J2" s="1097"/>
      <c r="L2" s="390"/>
    </row>
    <row r="3" spans="2:12" ht="6" customHeight="1">
      <c r="B3" s="226"/>
      <c r="C3" s="226"/>
      <c r="D3" s="266"/>
      <c r="E3" s="116"/>
      <c r="F3" s="116"/>
      <c r="G3" s="116"/>
      <c r="H3" s="116"/>
      <c r="I3" s="116"/>
      <c r="J3" s="116"/>
      <c r="K3" s="116"/>
    </row>
    <row r="4" spans="2:12" ht="15" customHeight="1" thickBot="1">
      <c r="B4" s="134" t="s">
        <v>115</v>
      </c>
      <c r="C4" s="112"/>
      <c r="D4" s="113"/>
      <c r="E4" s="114"/>
      <c r="F4" s="114"/>
      <c r="G4" s="114"/>
      <c r="H4" s="114"/>
      <c r="I4" s="114"/>
      <c r="J4" s="114"/>
      <c r="K4" s="114"/>
    </row>
    <row r="5" spans="2:12" ht="15.75" customHeight="1">
      <c r="B5" s="112"/>
      <c r="C5" s="908" t="s">
        <v>238</v>
      </c>
      <c r="D5" s="908"/>
      <c r="E5" s="1085" t="s">
        <v>157</v>
      </c>
      <c r="F5" s="1085"/>
      <c r="G5" s="114"/>
      <c r="H5" s="114"/>
      <c r="I5" s="1087" t="s">
        <v>335</v>
      </c>
      <c r="J5" s="1089">
        <v>20</v>
      </c>
    </row>
    <row r="6" spans="2:12" ht="15.75" customHeight="1" thickBot="1">
      <c r="B6" s="112"/>
      <c r="C6" s="908"/>
      <c r="D6" s="908"/>
      <c r="E6" s="1086" t="s">
        <v>209</v>
      </c>
      <c r="F6" s="1086"/>
      <c r="G6" s="114"/>
      <c r="H6" s="114"/>
      <c r="I6" s="1088"/>
      <c r="J6" s="1090"/>
      <c r="K6" s="115" t="s">
        <v>730</v>
      </c>
    </row>
    <row r="7" spans="2:12" ht="17.25" customHeight="1"/>
    <row r="8" spans="2:12" ht="15.75" customHeight="1">
      <c r="C8" s="135" t="s">
        <v>329</v>
      </c>
      <c r="D8" s="112"/>
      <c r="E8" s="134" t="s">
        <v>330</v>
      </c>
      <c r="F8" s="112"/>
      <c r="G8" s="112"/>
      <c r="H8" s="112"/>
      <c r="I8" s="112"/>
      <c r="J8" s="112"/>
      <c r="K8" s="112"/>
      <c r="L8" s="112"/>
    </row>
    <row r="9" spans="2:12" ht="15.75" customHeight="1">
      <c r="B9" s="267"/>
      <c r="C9" s="113" t="s">
        <v>347</v>
      </c>
      <c r="D9" s="114"/>
      <c r="E9" s="114"/>
      <c r="F9" s="114"/>
      <c r="G9" s="227"/>
      <c r="H9" s="227"/>
    </row>
    <row r="10" spans="2:12" ht="15.75" customHeight="1">
      <c r="B10" s="134"/>
      <c r="C10" s="293" t="s">
        <v>449</v>
      </c>
      <c r="D10" s="114" t="s">
        <v>712</v>
      </c>
      <c r="E10" s="114"/>
      <c r="F10" s="293"/>
      <c r="G10" s="114"/>
      <c r="H10" s="114"/>
      <c r="I10" s="293"/>
      <c r="J10" s="293" t="s">
        <v>450</v>
      </c>
      <c r="K10" s="114" t="s">
        <v>447</v>
      </c>
    </row>
    <row r="11" spans="2:12" ht="15.75" customHeight="1">
      <c r="B11" s="134"/>
      <c r="C11" s="293" t="s">
        <v>694</v>
      </c>
      <c r="D11" s="114" t="s">
        <v>713</v>
      </c>
      <c r="E11" s="114"/>
      <c r="F11" s="293"/>
      <c r="G11" s="114"/>
      <c r="H11" s="114"/>
      <c r="I11" s="293"/>
      <c r="J11" s="293" t="s">
        <v>695</v>
      </c>
      <c r="K11" s="114" t="s">
        <v>151</v>
      </c>
    </row>
    <row r="12" spans="2:12" ht="15.75" customHeight="1">
      <c r="B12" s="267"/>
      <c r="C12" s="113" t="s">
        <v>348</v>
      </c>
      <c r="D12" s="114"/>
      <c r="E12" s="114"/>
      <c r="F12" s="114"/>
      <c r="G12" s="114"/>
    </row>
    <row r="13" spans="2:12" ht="15.75" customHeight="1">
      <c r="B13" s="267"/>
      <c r="C13" s="293" t="s">
        <v>744</v>
      </c>
      <c r="D13" s="114" t="s">
        <v>745</v>
      </c>
      <c r="E13" s="114"/>
      <c r="F13" s="293" t="s">
        <v>746</v>
      </c>
      <c r="G13" s="114" t="s">
        <v>447</v>
      </c>
      <c r="I13" s="293" t="s">
        <v>747</v>
      </c>
      <c r="J13" s="114" t="s">
        <v>748</v>
      </c>
    </row>
    <row r="14" spans="2:12" ht="15.75" customHeight="1">
      <c r="B14" s="267"/>
      <c r="C14" s="293" t="s">
        <v>749</v>
      </c>
      <c r="D14" s="114" t="s">
        <v>151</v>
      </c>
      <c r="E14" s="114"/>
      <c r="F14" s="293" t="s">
        <v>750</v>
      </c>
      <c r="G14" s="114" t="s">
        <v>345</v>
      </c>
      <c r="I14" s="293"/>
      <c r="J14" s="293"/>
      <c r="K14" s="114"/>
    </row>
    <row r="15" spans="2:12" ht="15.75" customHeight="1"/>
    <row r="16" spans="2:12" ht="15.75" customHeight="1">
      <c r="C16" s="135" t="s">
        <v>331</v>
      </c>
    </row>
    <row r="17" spans="3:13" ht="15.75" customHeight="1">
      <c r="C17" s="113" t="s">
        <v>332</v>
      </c>
      <c r="H17" s="115" t="s">
        <v>336</v>
      </c>
    </row>
    <row r="18" spans="3:13" ht="15.75" customHeight="1">
      <c r="C18" s="113" t="s">
        <v>731</v>
      </c>
      <c r="J18" s="115" t="s">
        <v>336</v>
      </c>
    </row>
    <row r="19" spans="3:13" ht="15.75" customHeight="1" thickBot="1">
      <c r="C19" s="113"/>
    </row>
    <row r="20" spans="3:13" ht="15.75" customHeight="1">
      <c r="C20" s="1081" t="s">
        <v>133</v>
      </c>
      <c r="D20" s="1082"/>
      <c r="E20" s="1076" t="s">
        <v>157</v>
      </c>
      <c r="F20" s="996"/>
      <c r="G20" s="996"/>
      <c r="H20" s="996"/>
      <c r="I20" s="1077"/>
      <c r="J20" s="1078" t="s">
        <v>209</v>
      </c>
      <c r="K20" s="1079"/>
      <c r="L20" s="1080"/>
      <c r="M20" s="1098" t="s">
        <v>207</v>
      </c>
    </row>
    <row r="21" spans="3:13" ht="27.75" customHeight="1" thickBot="1">
      <c r="C21" s="1083"/>
      <c r="D21" s="1084"/>
      <c r="E21" s="446" t="s">
        <v>458</v>
      </c>
      <c r="F21" s="447" t="s">
        <v>153</v>
      </c>
      <c r="G21" s="448" t="s">
        <v>459</v>
      </c>
      <c r="H21" s="449" t="s">
        <v>643</v>
      </c>
      <c r="I21" s="450"/>
      <c r="J21" s="451" t="s">
        <v>333</v>
      </c>
      <c r="K21" s="452" t="s">
        <v>334</v>
      </c>
      <c r="L21" s="453"/>
      <c r="M21" s="1099"/>
    </row>
    <row r="22" spans="3:13" ht="15.75" customHeight="1">
      <c r="C22" s="1081" t="s">
        <v>259</v>
      </c>
      <c r="D22" s="1082"/>
      <c r="E22" s="454">
        <f>連結実質赤字比率!K32</f>
        <v>770916</v>
      </c>
      <c r="F22" s="138">
        <f>連結実質赤字比率!L32</f>
        <v>0</v>
      </c>
      <c r="G22" s="138">
        <f>連結実質赤字比率!J41</f>
        <v>2828488</v>
      </c>
      <c r="H22" s="455">
        <f>連結実質赤字比率!I32</f>
        <v>0</v>
      </c>
      <c r="I22" s="235">
        <f>E22+F22-G22-H22</f>
        <v>-2057572</v>
      </c>
      <c r="J22" s="530">
        <v>5274358</v>
      </c>
      <c r="K22" s="530">
        <v>0</v>
      </c>
      <c r="L22" s="136">
        <f t="shared" ref="L22:L27" si="0">J22-K22</f>
        <v>5274358</v>
      </c>
      <c r="M22" s="137">
        <f t="shared" ref="M22:M27" si="1">ROUNDDOWN(I22/L22*100,2)</f>
        <v>-39.01</v>
      </c>
    </row>
    <row r="23" spans="3:13" ht="15.75" customHeight="1">
      <c r="C23" s="1107" t="s">
        <v>150</v>
      </c>
      <c r="D23" s="1108"/>
      <c r="E23" s="454">
        <f>連結実質赤字比率!K33</f>
        <v>864643</v>
      </c>
      <c r="F23" s="138">
        <f>連結実質赤字比率!L33</f>
        <v>0</v>
      </c>
      <c r="G23" s="138">
        <f>連結実質赤字比率!J42</f>
        <v>3203881</v>
      </c>
      <c r="H23" s="455">
        <f>連結実質赤字比率!I33</f>
        <v>0</v>
      </c>
      <c r="I23" s="138">
        <f>E23+F23-G23-H23</f>
        <v>-2339238</v>
      </c>
      <c r="J23" s="566">
        <v>2332595</v>
      </c>
      <c r="K23" s="566">
        <v>2945</v>
      </c>
      <c r="L23" s="139">
        <f t="shared" si="0"/>
        <v>2329650</v>
      </c>
      <c r="M23" s="140">
        <f t="shared" si="1"/>
        <v>-100.41</v>
      </c>
    </row>
    <row r="24" spans="3:13" ht="15.75" customHeight="1">
      <c r="C24" s="1093" t="s">
        <v>158</v>
      </c>
      <c r="D24" s="1094"/>
      <c r="E24" s="456">
        <f>連結実質赤字比率!K34</f>
        <v>419888</v>
      </c>
      <c r="F24" s="235">
        <f>連結実質赤字比率!L34</f>
        <v>0</v>
      </c>
      <c r="G24" s="235">
        <f>連結実質赤字比率!J43</f>
        <v>1219264</v>
      </c>
      <c r="H24" s="455">
        <f>連結実質赤字比率!I34</f>
        <v>0</v>
      </c>
      <c r="I24" s="235">
        <f>E24+F24-G24+H24</f>
        <v>-799376</v>
      </c>
      <c r="J24" s="530">
        <v>889294</v>
      </c>
      <c r="K24" s="530">
        <v>0</v>
      </c>
      <c r="L24" s="136">
        <f t="shared" si="0"/>
        <v>889294</v>
      </c>
      <c r="M24" s="137">
        <f t="shared" si="1"/>
        <v>-89.88</v>
      </c>
    </row>
    <row r="25" spans="3:13" ht="15.75" customHeight="1">
      <c r="C25" s="1093" t="s">
        <v>738</v>
      </c>
      <c r="D25" s="1094"/>
      <c r="E25" s="456">
        <f>SUM(E26:E27)</f>
        <v>69010</v>
      </c>
      <c r="F25" s="462">
        <f t="shared" ref="F25:H25" si="2">SUM(F26:F27)</f>
        <v>0</v>
      </c>
      <c r="G25" s="462">
        <f t="shared" si="2"/>
        <v>98771</v>
      </c>
      <c r="H25" s="464">
        <f t="shared" si="2"/>
        <v>0</v>
      </c>
      <c r="I25" s="462">
        <f>E25+F25-G25+H25</f>
        <v>-29761</v>
      </c>
      <c r="J25" s="763">
        <f>SUM(J26:J27)</f>
        <v>88375</v>
      </c>
      <c r="K25" s="763">
        <f t="shared" ref="K25" si="3">SUM(K26:K27)</f>
        <v>0</v>
      </c>
      <c r="L25" s="136">
        <f t="shared" si="0"/>
        <v>88375</v>
      </c>
      <c r="M25" s="137">
        <f>ROUNDDOWN(I25/L25*100,2)</f>
        <v>-33.67</v>
      </c>
    </row>
    <row r="26" spans="3:13" ht="15.75" customHeight="1">
      <c r="C26" s="1095" t="s">
        <v>739</v>
      </c>
      <c r="D26" s="1096"/>
      <c r="E26" s="469">
        <f>連結実質赤字比率!K36</f>
        <v>67365</v>
      </c>
      <c r="F26" s="465">
        <f>連結実質赤字比率!L36</f>
        <v>0</v>
      </c>
      <c r="G26" s="465">
        <f>連結実質赤字比率!J45</f>
        <v>84643</v>
      </c>
      <c r="H26" s="466">
        <f>連結実質赤字比率!I36</f>
        <v>0</v>
      </c>
      <c r="I26" s="477">
        <f>(E26+F26-G26+H26)*-1</f>
        <v>17278</v>
      </c>
      <c r="J26" s="567">
        <v>79337</v>
      </c>
      <c r="K26" s="567">
        <v>0</v>
      </c>
      <c r="L26" s="470">
        <f t="shared" si="0"/>
        <v>79337</v>
      </c>
      <c r="M26" s="476">
        <f>ROUNDDOWN(I26/L26*100,2)</f>
        <v>21.77</v>
      </c>
    </row>
    <row r="27" spans="3:13" ht="15.75" customHeight="1" thickBot="1">
      <c r="C27" s="1109" t="s">
        <v>740</v>
      </c>
      <c r="D27" s="1110"/>
      <c r="E27" s="471">
        <f>連結実質赤字比率!K37</f>
        <v>1645</v>
      </c>
      <c r="F27" s="472">
        <f>連結実質赤字比率!L37</f>
        <v>0</v>
      </c>
      <c r="G27" s="472">
        <f>連結実質赤字比率!J46</f>
        <v>14128</v>
      </c>
      <c r="H27" s="473">
        <f>連結実質赤字比率!I37</f>
        <v>0</v>
      </c>
      <c r="I27" s="478">
        <f>(E27+F27-G27+H27)*-1</f>
        <v>12483</v>
      </c>
      <c r="J27" s="568">
        <v>9038</v>
      </c>
      <c r="K27" s="568">
        <v>0</v>
      </c>
      <c r="L27" s="474">
        <f t="shared" si="0"/>
        <v>9038</v>
      </c>
      <c r="M27" s="475">
        <f t="shared" si="1"/>
        <v>138.11000000000001</v>
      </c>
    </row>
    <row r="28" spans="3:13" ht="15.75" customHeight="1" thickBot="1"/>
    <row r="29" spans="3:13" ht="15.75" customHeight="1">
      <c r="C29" s="1100" t="s">
        <v>133</v>
      </c>
      <c r="D29" s="1101"/>
      <c r="E29" s="1104" t="s">
        <v>157</v>
      </c>
      <c r="F29" s="1105"/>
      <c r="G29" s="1105"/>
      <c r="H29" s="1105"/>
      <c r="I29" s="1105"/>
      <c r="J29" s="1105"/>
      <c r="K29" s="1105"/>
      <c r="L29" s="1105"/>
      <c r="M29" s="1106"/>
    </row>
    <row r="30" spans="3:13" ht="30" customHeight="1" thickBot="1">
      <c r="C30" s="1102"/>
      <c r="D30" s="1103"/>
      <c r="E30" s="446" t="s">
        <v>107</v>
      </c>
      <c r="F30" s="448" t="s">
        <v>108</v>
      </c>
      <c r="G30" s="448" t="s">
        <v>162</v>
      </c>
      <c r="H30" s="447" t="s">
        <v>163</v>
      </c>
      <c r="I30" s="448" t="s">
        <v>127</v>
      </c>
      <c r="J30" s="447" t="s">
        <v>153</v>
      </c>
      <c r="K30" s="449" t="s">
        <v>155</v>
      </c>
      <c r="L30" s="511" t="s">
        <v>342</v>
      </c>
      <c r="M30" s="512"/>
    </row>
    <row r="31" spans="3:13" ht="15.75" customHeight="1" thickBot="1">
      <c r="C31" s="1091" t="s">
        <v>160</v>
      </c>
      <c r="D31" s="1092"/>
      <c r="E31" s="491">
        <f>+連結実質赤字比率!F54</f>
        <v>644742</v>
      </c>
      <c r="F31" s="492">
        <f>+連結実質赤字比率!G54</f>
        <v>313514</v>
      </c>
      <c r="G31" s="492">
        <v>0</v>
      </c>
      <c r="H31" s="492">
        <v>0</v>
      </c>
      <c r="I31" s="492">
        <f>+連結実質赤字比率!J54</f>
        <v>82640</v>
      </c>
      <c r="J31" s="492">
        <v>0</v>
      </c>
      <c r="K31" s="492">
        <v>0</v>
      </c>
      <c r="L31" s="492">
        <f>+連結実質赤字比率!M54</f>
        <v>91856</v>
      </c>
      <c r="M31" s="493">
        <f>F31+J31-(E31-H31-I31)-K31-L31</f>
        <v>-340444</v>
      </c>
    </row>
    <row r="32" spans="3:13" ht="9" customHeight="1" thickBot="1"/>
    <row r="33" spans="3:8" ht="15.75" customHeight="1">
      <c r="C33" s="1100" t="s">
        <v>133</v>
      </c>
      <c r="D33" s="1101"/>
      <c r="E33" s="1079" t="s">
        <v>209</v>
      </c>
      <c r="F33" s="1079"/>
      <c r="G33" s="1079"/>
      <c r="H33" s="1098" t="s">
        <v>207</v>
      </c>
    </row>
    <row r="34" spans="3:8" ht="30" customHeight="1" thickBot="1">
      <c r="C34" s="1102"/>
      <c r="D34" s="1103"/>
      <c r="E34" s="457" t="s">
        <v>333</v>
      </c>
      <c r="F34" s="452" t="s">
        <v>334</v>
      </c>
      <c r="G34" s="141"/>
      <c r="H34" s="1099"/>
    </row>
    <row r="35" spans="3:8" ht="15.75" customHeight="1" thickBot="1">
      <c r="C35" s="1091" t="s">
        <v>160</v>
      </c>
      <c r="D35" s="1092"/>
      <c r="E35" s="583">
        <v>137468</v>
      </c>
      <c r="F35" s="492">
        <v>0</v>
      </c>
      <c r="G35" s="494">
        <f>E35-F35</f>
        <v>137468</v>
      </c>
      <c r="H35" s="495">
        <f>ROUNDDOWN(M31/G35*100,2)</f>
        <v>-247.65</v>
      </c>
    </row>
    <row r="65" spans="10:10" ht="14.25">
      <c r="J65" s="519"/>
    </row>
    <row r="90" spans="4:4">
      <c r="D90" s="275"/>
    </row>
    <row r="202" spans="5:5" ht="13.5">
      <c r="E202" s="460"/>
    </row>
  </sheetData>
  <mergeCells count="24">
    <mergeCell ref="C35:D35"/>
    <mergeCell ref="C24:D24"/>
    <mergeCell ref="C26:D26"/>
    <mergeCell ref="E2:J2"/>
    <mergeCell ref="B2:D2"/>
    <mergeCell ref="H33:H34"/>
    <mergeCell ref="C31:D31"/>
    <mergeCell ref="C29:D30"/>
    <mergeCell ref="E29:M29"/>
    <mergeCell ref="C22:D22"/>
    <mergeCell ref="C25:D25"/>
    <mergeCell ref="E33:G33"/>
    <mergeCell ref="C23:D23"/>
    <mergeCell ref="C27:D27"/>
    <mergeCell ref="C33:D34"/>
    <mergeCell ref="M20:M21"/>
    <mergeCell ref="E20:I20"/>
    <mergeCell ref="J20:L20"/>
    <mergeCell ref="C20:D21"/>
    <mergeCell ref="C5:D6"/>
    <mergeCell ref="E5:F5"/>
    <mergeCell ref="E6:F6"/>
    <mergeCell ref="I5:I6"/>
    <mergeCell ref="J5:J6"/>
  </mergeCells>
  <phoneticPr fontId="2"/>
  <pageMargins left="0.78740157480314965" right="0.39370078740157483" top="0.78740157480314965" bottom="0.39370078740157483" header="0.70866141732283472" footer="0.11811023622047245"/>
  <pageSetup paperSize="9" scale="90" orientation="landscape" r:id="rId1"/>
  <headerFooter alignWithMargins="0">
    <oddHeader>&amp;R&amp;8&amp;D</oddHeader>
    <oddFooter>&amp;R&amp;8&amp;Z&amp;F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335"/>
  <sheetViews>
    <sheetView view="pageBreakPreview" topLeftCell="A303" zoomScaleNormal="75" zoomScaleSheetLayoutView="100" workbookViewId="0">
      <selection activeCell="J334" sqref="J334"/>
    </sheetView>
  </sheetViews>
  <sheetFormatPr defaultRowHeight="13.5"/>
  <cols>
    <col min="1" max="1" width="1" style="460" customWidth="1"/>
    <col min="2" max="2" width="3" style="458" customWidth="1"/>
    <col min="3" max="3" width="3.5" style="460" customWidth="1"/>
    <col min="4" max="4" width="11.625" style="460" customWidth="1"/>
    <col min="5" max="5" width="14.625" style="458" customWidth="1"/>
    <col min="6" max="8" width="14.625" style="459" customWidth="1"/>
    <col min="9" max="14" width="14.625" style="460" customWidth="1"/>
    <col min="15" max="15" width="24.25" style="460" customWidth="1"/>
    <col min="16" max="20" width="11" style="460" customWidth="1"/>
    <col min="21" max="21" width="11.75" style="460" customWidth="1"/>
    <col min="22" max="16384" width="9" style="460"/>
  </cols>
  <sheetData>
    <row r="1" spans="2:10" s="590" customFormat="1" ht="22.5" customHeight="1">
      <c r="B1" s="589"/>
      <c r="E1" s="584" t="s">
        <v>397</v>
      </c>
      <c r="F1" s="605"/>
      <c r="G1" s="605"/>
      <c r="H1" s="605"/>
    </row>
    <row r="2" spans="2:10" s="590" customFormat="1" ht="10.5" customHeight="1">
      <c r="B2" s="589"/>
      <c r="E2" s="589"/>
      <c r="F2" s="605"/>
      <c r="G2" s="605"/>
      <c r="H2" s="605"/>
    </row>
    <row r="3" spans="2:10" s="590" customFormat="1" ht="17.25" customHeight="1">
      <c r="B3" s="589" t="s">
        <v>91</v>
      </c>
      <c r="C3" s="590" t="s">
        <v>106</v>
      </c>
      <c r="E3" s="589"/>
      <c r="F3" s="605"/>
      <c r="G3" s="605"/>
      <c r="H3" s="605"/>
    </row>
    <row r="4" spans="2:10" s="590" customFormat="1" ht="6" customHeight="1" thickBot="1">
      <c r="B4" s="589"/>
      <c r="E4" s="589"/>
      <c r="F4" s="605"/>
      <c r="G4" s="605"/>
      <c r="H4" s="605"/>
    </row>
    <row r="5" spans="2:10" s="590" customFormat="1" ht="18" customHeight="1">
      <c r="B5" s="589"/>
      <c r="D5" s="1111"/>
      <c r="E5" s="1113" t="s">
        <v>352</v>
      </c>
      <c r="F5" s="1114"/>
      <c r="G5" s="1114"/>
      <c r="H5" s="1114"/>
      <c r="I5" s="1115" t="s">
        <v>112</v>
      </c>
      <c r="J5" s="1117" t="s">
        <v>106</v>
      </c>
    </row>
    <row r="6" spans="2:10" s="634" customFormat="1" ht="15" customHeight="1">
      <c r="D6" s="1112"/>
      <c r="E6" s="635" t="s">
        <v>130</v>
      </c>
      <c r="F6" s="636" t="s">
        <v>351</v>
      </c>
      <c r="G6" s="636" t="s">
        <v>378</v>
      </c>
      <c r="H6" s="636" t="s">
        <v>132</v>
      </c>
      <c r="I6" s="1116"/>
      <c r="J6" s="1118"/>
    </row>
    <row r="7" spans="2:10" s="590" customFormat="1" ht="18" hidden="1" customHeight="1">
      <c r="B7" s="589"/>
      <c r="D7" s="591" t="s">
        <v>754</v>
      </c>
      <c r="E7" s="592">
        <v>-1299127</v>
      </c>
      <c r="F7" s="593">
        <v>-6323</v>
      </c>
      <c r="G7" s="593">
        <v>-4430</v>
      </c>
      <c r="H7" s="593">
        <f t="shared" ref="H7:H20" si="0">SUM(E7:G7)</f>
        <v>-1309880</v>
      </c>
      <c r="I7" s="594">
        <f>I297</f>
        <v>28106028</v>
      </c>
      <c r="J7" s="595">
        <f t="shared" ref="J7:J18" si="1">ROUNDDOWN(H7/I7*100,2)</f>
        <v>-4.66</v>
      </c>
    </row>
    <row r="8" spans="2:10" s="590" customFormat="1" ht="18" hidden="1" customHeight="1">
      <c r="B8" s="589"/>
      <c r="D8" s="591" t="s">
        <v>755</v>
      </c>
      <c r="E8" s="592">
        <v>-1489183</v>
      </c>
      <c r="F8" s="593">
        <v>-5300</v>
      </c>
      <c r="G8" s="593">
        <v>-3785</v>
      </c>
      <c r="H8" s="593">
        <f t="shared" si="0"/>
        <v>-1498268</v>
      </c>
      <c r="I8" s="594">
        <f>I298</f>
        <v>27885456</v>
      </c>
      <c r="J8" s="595">
        <f t="shared" si="1"/>
        <v>-5.37</v>
      </c>
    </row>
    <row r="9" spans="2:10" s="590" customFormat="1" ht="18" hidden="1" customHeight="1">
      <c r="B9" s="589"/>
      <c r="D9" s="591" t="s">
        <v>756</v>
      </c>
      <c r="E9" s="596">
        <v>-2288630</v>
      </c>
      <c r="F9" s="597">
        <v>-3593</v>
      </c>
      <c r="G9" s="597">
        <v>-2556</v>
      </c>
      <c r="H9" s="593">
        <f t="shared" si="0"/>
        <v>-2294779</v>
      </c>
      <c r="I9" s="594">
        <f>I299</f>
        <v>27455995</v>
      </c>
      <c r="J9" s="595">
        <f t="shared" si="1"/>
        <v>-8.35</v>
      </c>
    </row>
    <row r="10" spans="2:10" s="590" customFormat="1" ht="18" customHeight="1">
      <c r="B10" s="589"/>
      <c r="D10" s="591" t="s">
        <v>824</v>
      </c>
      <c r="E10" s="596">
        <v>-2103934</v>
      </c>
      <c r="F10" s="597">
        <v>-4041</v>
      </c>
      <c r="G10" s="597">
        <v>-3568</v>
      </c>
      <c r="H10" s="593">
        <f t="shared" si="0"/>
        <v>-2111543</v>
      </c>
      <c r="I10" s="594">
        <v>27533238</v>
      </c>
      <c r="J10" s="595">
        <f t="shared" si="1"/>
        <v>-7.66</v>
      </c>
    </row>
    <row r="11" spans="2:10" s="590" customFormat="1" ht="18" customHeight="1">
      <c r="B11" s="589"/>
      <c r="D11" s="591" t="s">
        <v>757</v>
      </c>
      <c r="E11" s="596">
        <v>-2314292</v>
      </c>
      <c r="F11" s="597">
        <v>-2212</v>
      </c>
      <c r="G11" s="597">
        <v>-4352</v>
      </c>
      <c r="H11" s="593">
        <f t="shared" si="0"/>
        <v>-2320856</v>
      </c>
      <c r="I11" s="594">
        <v>27635521</v>
      </c>
      <c r="J11" s="595">
        <f t="shared" si="1"/>
        <v>-8.39</v>
      </c>
    </row>
    <row r="12" spans="2:10" s="590" customFormat="1" ht="18" customHeight="1">
      <c r="B12" s="589"/>
      <c r="D12" s="591" t="s">
        <v>758</v>
      </c>
      <c r="E12" s="596">
        <v>-2591870</v>
      </c>
      <c r="F12" s="597">
        <v>-5048</v>
      </c>
      <c r="G12" s="597">
        <v>-3672</v>
      </c>
      <c r="H12" s="593">
        <f t="shared" si="0"/>
        <v>-2600590</v>
      </c>
      <c r="I12" s="598">
        <v>27912779</v>
      </c>
      <c r="J12" s="595">
        <f t="shared" si="1"/>
        <v>-9.31</v>
      </c>
    </row>
    <row r="13" spans="2:10" s="590" customFormat="1" ht="18" customHeight="1">
      <c r="B13" s="589"/>
      <c r="D13" s="591" t="s">
        <v>759</v>
      </c>
      <c r="E13" s="596">
        <v>-1716625</v>
      </c>
      <c r="F13" s="597">
        <v>-2466</v>
      </c>
      <c r="G13" s="597">
        <v>-5429</v>
      </c>
      <c r="H13" s="593">
        <f t="shared" si="0"/>
        <v>-1724520</v>
      </c>
      <c r="I13" s="598">
        <v>27772944</v>
      </c>
      <c r="J13" s="595">
        <f t="shared" si="1"/>
        <v>-6.2</v>
      </c>
    </row>
    <row r="14" spans="2:10" s="590" customFormat="1" ht="18" customHeight="1">
      <c r="B14" s="589"/>
      <c r="D14" s="591" t="s">
        <v>760</v>
      </c>
      <c r="E14" s="596">
        <v>-1955045</v>
      </c>
      <c r="F14" s="597">
        <v>-5424</v>
      </c>
      <c r="G14" s="597">
        <v>-8542</v>
      </c>
      <c r="H14" s="593">
        <f t="shared" si="0"/>
        <v>-1969011</v>
      </c>
      <c r="I14" s="598">
        <v>28390874</v>
      </c>
      <c r="J14" s="595">
        <f t="shared" si="1"/>
        <v>-6.93</v>
      </c>
    </row>
    <row r="15" spans="2:10" s="590" customFormat="1" ht="18" customHeight="1">
      <c r="B15" s="589"/>
      <c r="D15" s="591" t="s">
        <v>761</v>
      </c>
      <c r="E15" s="596">
        <v>-2044487</v>
      </c>
      <c r="F15" s="596">
        <v>-3196</v>
      </c>
      <c r="G15" s="596">
        <v>-11827</v>
      </c>
      <c r="H15" s="593">
        <f t="shared" si="0"/>
        <v>-2059510</v>
      </c>
      <c r="I15" s="599">
        <v>28578322</v>
      </c>
      <c r="J15" s="595">
        <f t="shared" si="1"/>
        <v>-7.2</v>
      </c>
    </row>
    <row r="16" spans="2:10" s="590" customFormat="1" ht="18" customHeight="1">
      <c r="B16" s="589"/>
      <c r="D16" s="591" t="s">
        <v>762</v>
      </c>
      <c r="E16" s="596">
        <v>-2121717</v>
      </c>
      <c r="F16" s="596">
        <v>-1958</v>
      </c>
      <c r="G16" s="596">
        <v>-12726</v>
      </c>
      <c r="H16" s="596">
        <f t="shared" si="0"/>
        <v>-2136401</v>
      </c>
      <c r="I16" s="599">
        <v>28706679</v>
      </c>
      <c r="J16" s="600">
        <f t="shared" si="1"/>
        <v>-7.44</v>
      </c>
    </row>
    <row r="17" spans="2:13" s="590" customFormat="1" ht="18" customHeight="1">
      <c r="B17" s="589"/>
      <c r="D17" s="591" t="s">
        <v>763</v>
      </c>
      <c r="E17" s="596">
        <v>-2547397</v>
      </c>
      <c r="F17" s="596">
        <v>-957</v>
      </c>
      <c r="G17" s="601"/>
      <c r="H17" s="596">
        <f t="shared" si="0"/>
        <v>-2548354</v>
      </c>
      <c r="I17" s="599">
        <v>28810894</v>
      </c>
      <c r="J17" s="600">
        <f t="shared" si="1"/>
        <v>-8.84</v>
      </c>
    </row>
    <row r="18" spans="2:13" s="590" customFormat="1" ht="18" customHeight="1">
      <c r="B18" s="589"/>
      <c r="D18" s="602" t="s">
        <v>752</v>
      </c>
      <c r="E18" s="596">
        <v>-2241893</v>
      </c>
      <c r="F18" s="596">
        <v>0</v>
      </c>
      <c r="G18" s="601"/>
      <c r="H18" s="596">
        <f t="shared" si="0"/>
        <v>-2241893</v>
      </c>
      <c r="I18" s="599">
        <v>28724375</v>
      </c>
      <c r="J18" s="600">
        <f t="shared" si="1"/>
        <v>-7.8</v>
      </c>
    </row>
    <row r="19" spans="2:13" s="590" customFormat="1" ht="18" customHeight="1">
      <c r="B19" s="589"/>
      <c r="D19" s="602" t="s">
        <v>771</v>
      </c>
      <c r="E19" s="596">
        <v>-1842668</v>
      </c>
      <c r="F19" s="603"/>
      <c r="G19" s="603"/>
      <c r="H19" s="596">
        <f t="shared" si="0"/>
        <v>-1842668</v>
      </c>
      <c r="I19" s="599">
        <v>29114831</v>
      </c>
      <c r="J19" s="600">
        <f>ROUNDDOWN(H19/I19*100,2)</f>
        <v>-6.32</v>
      </c>
    </row>
    <row r="20" spans="2:13" s="590" customFormat="1" ht="18" customHeight="1">
      <c r="B20" s="589"/>
      <c r="D20" s="602" t="s">
        <v>778</v>
      </c>
      <c r="E20" s="596">
        <v>-4058544</v>
      </c>
      <c r="F20" s="603"/>
      <c r="G20" s="603"/>
      <c r="H20" s="596">
        <f t="shared" si="0"/>
        <v>-4058544</v>
      </c>
      <c r="I20" s="599">
        <v>30251923</v>
      </c>
      <c r="J20" s="600">
        <f>ROUNDDOWN(H20/I20*100,2)</f>
        <v>-13.41</v>
      </c>
    </row>
    <row r="21" spans="2:13" s="590" customFormat="1" ht="18" customHeight="1">
      <c r="B21" s="589"/>
      <c r="D21" s="602" t="s">
        <v>790</v>
      </c>
      <c r="E21" s="596">
        <v>-3253998</v>
      </c>
      <c r="F21" s="601"/>
      <c r="G21" s="603"/>
      <c r="H21" s="596">
        <f>E21</f>
        <v>-3253998</v>
      </c>
      <c r="I21" s="599">
        <v>29489961</v>
      </c>
      <c r="J21" s="600">
        <f>ROUNDDOWN(H21/I21*100,2)</f>
        <v>-11.03</v>
      </c>
    </row>
    <row r="22" spans="2:13" s="590" customFormat="1" ht="18" customHeight="1">
      <c r="B22" s="589"/>
      <c r="D22" s="602" t="s">
        <v>797</v>
      </c>
      <c r="E22" s="596">
        <v>-2465972</v>
      </c>
      <c r="F22" s="601"/>
      <c r="G22" s="603"/>
      <c r="H22" s="596">
        <f>E22</f>
        <v>-2465972</v>
      </c>
      <c r="I22" s="599">
        <v>30453898</v>
      </c>
      <c r="J22" s="600">
        <f>ROUNDDOWN(H22/I22*100,2)</f>
        <v>-8.09</v>
      </c>
      <c r="K22" s="590">
        <f>E22/E21</f>
        <v>0.75782836990065761</v>
      </c>
      <c r="L22" s="590">
        <f>I22/I21</f>
        <v>1.0326869540451409</v>
      </c>
    </row>
    <row r="23" spans="2:13" s="590" customFormat="1" ht="18" customHeight="1">
      <c r="B23" s="589"/>
      <c r="D23" s="602" t="s">
        <v>840</v>
      </c>
      <c r="E23" s="596">
        <v>-2023379</v>
      </c>
      <c r="F23" s="603"/>
      <c r="G23" s="603"/>
      <c r="H23" s="596">
        <f>E23</f>
        <v>-2023379</v>
      </c>
      <c r="I23" s="599">
        <v>31417985</v>
      </c>
      <c r="J23" s="600">
        <f>ROUNDDOWN(H23/I23*100,2)</f>
        <v>-6.44</v>
      </c>
    </row>
    <row r="24" spans="2:13" s="590" customFormat="1" ht="18" customHeight="1" thickBot="1">
      <c r="B24" s="589"/>
      <c r="D24" s="616" t="s">
        <v>350</v>
      </c>
      <c r="E24" s="617">
        <f>E23-E22</f>
        <v>442593</v>
      </c>
      <c r="F24" s="629"/>
      <c r="G24" s="629"/>
      <c r="H24" s="617">
        <f>H23-H22</f>
        <v>442593</v>
      </c>
      <c r="I24" s="630">
        <f>I23-I22</f>
        <v>964087</v>
      </c>
      <c r="J24" s="764">
        <f>J23-J22</f>
        <v>1.6499999999999995</v>
      </c>
    </row>
    <row r="25" spans="2:13" ht="15" customHeight="1"/>
    <row r="26" spans="2:13" s="590" customFormat="1" ht="17.25" customHeight="1">
      <c r="B26" s="589" t="s">
        <v>91</v>
      </c>
      <c r="C26" s="590" t="s">
        <v>134</v>
      </c>
      <c r="E26" s="589"/>
      <c r="F26" s="605"/>
      <c r="G26" s="605"/>
      <c r="H26" s="605"/>
    </row>
    <row r="27" spans="2:13" s="590" customFormat="1" ht="6" customHeight="1" thickBot="1">
      <c r="B27" s="589"/>
      <c r="E27" s="589"/>
      <c r="F27" s="605"/>
      <c r="G27" s="605"/>
      <c r="H27" s="605"/>
    </row>
    <row r="28" spans="2:13" s="590" customFormat="1" ht="18" customHeight="1">
      <c r="B28" s="589"/>
      <c r="D28" s="1111"/>
      <c r="E28" s="1113" t="s">
        <v>353</v>
      </c>
      <c r="F28" s="1114"/>
      <c r="G28" s="1114"/>
      <c r="H28" s="1114"/>
      <c r="I28" s="1114"/>
      <c r="J28" s="1114"/>
      <c r="K28" s="1114"/>
      <c r="L28" s="1114"/>
      <c r="M28" s="1119"/>
    </row>
    <row r="29" spans="2:13" s="634" customFormat="1" ht="15" customHeight="1">
      <c r="D29" s="1112"/>
      <c r="E29" s="635" t="s">
        <v>130</v>
      </c>
      <c r="F29" s="636" t="s">
        <v>351</v>
      </c>
      <c r="G29" s="636" t="s">
        <v>378</v>
      </c>
      <c r="H29" s="636" t="s">
        <v>354</v>
      </c>
      <c r="I29" s="636" t="s">
        <v>355</v>
      </c>
      <c r="J29" s="636" t="s">
        <v>356</v>
      </c>
      <c r="K29" s="636" t="s">
        <v>357</v>
      </c>
      <c r="L29" s="636" t="s">
        <v>92</v>
      </c>
      <c r="M29" s="637" t="s">
        <v>400</v>
      </c>
    </row>
    <row r="30" spans="2:13" s="590" customFormat="1" ht="18" hidden="1" customHeight="1">
      <c r="B30" s="589"/>
      <c r="D30" s="591" t="s">
        <v>754</v>
      </c>
      <c r="E30" s="592">
        <v>-1297561</v>
      </c>
      <c r="F30" s="593">
        <v>-6323</v>
      </c>
      <c r="G30" s="593">
        <v>-5996</v>
      </c>
      <c r="H30" s="593">
        <v>-46209</v>
      </c>
      <c r="I30" s="611">
        <v>-7206</v>
      </c>
      <c r="J30" s="611">
        <v>-281335</v>
      </c>
      <c r="K30" s="611">
        <v>-45824</v>
      </c>
      <c r="L30" s="611">
        <v>-2936412</v>
      </c>
      <c r="M30" s="612">
        <v>-1929322</v>
      </c>
    </row>
    <row r="31" spans="2:13" s="590" customFormat="1" ht="18" hidden="1" customHeight="1">
      <c r="B31" s="589"/>
      <c r="D31" s="591" t="s">
        <v>755</v>
      </c>
      <c r="E31" s="592">
        <v>-1489183</v>
      </c>
      <c r="F31" s="593">
        <v>-5300</v>
      </c>
      <c r="G31" s="593">
        <v>-3785</v>
      </c>
      <c r="H31" s="593">
        <v>-2028</v>
      </c>
      <c r="I31" s="611">
        <v>-2696</v>
      </c>
      <c r="J31" s="611">
        <v>-98042</v>
      </c>
      <c r="K31" s="611">
        <v>-16131</v>
      </c>
      <c r="L31" s="611">
        <v>-2702210</v>
      </c>
      <c r="M31" s="612">
        <v>-2883585</v>
      </c>
    </row>
    <row r="32" spans="2:13" s="590" customFormat="1" ht="18" hidden="1" customHeight="1">
      <c r="B32" s="589"/>
      <c r="D32" s="591" t="s">
        <v>756</v>
      </c>
      <c r="E32" s="596">
        <v>-2287830</v>
      </c>
      <c r="F32" s="597">
        <v>-3593</v>
      </c>
      <c r="G32" s="597">
        <v>-3356</v>
      </c>
      <c r="H32" s="597">
        <v>-180036</v>
      </c>
      <c r="I32" s="613">
        <v>0</v>
      </c>
      <c r="J32" s="613">
        <v>-42147</v>
      </c>
      <c r="K32" s="613">
        <v>-29215</v>
      </c>
      <c r="L32" s="613">
        <v>-2493233</v>
      </c>
      <c r="M32" s="614">
        <v>-3612123</v>
      </c>
    </row>
    <row r="33" spans="2:13" s="590" customFormat="1" ht="18" customHeight="1">
      <c r="B33" s="589"/>
      <c r="D33" s="591" t="s">
        <v>824</v>
      </c>
      <c r="E33" s="596">
        <v>-2103934</v>
      </c>
      <c r="F33" s="597">
        <v>-4041</v>
      </c>
      <c r="G33" s="597">
        <v>-3568</v>
      </c>
      <c r="H33" s="597">
        <v>-582995</v>
      </c>
      <c r="I33" s="638"/>
      <c r="J33" s="613">
        <v>-13294</v>
      </c>
      <c r="K33" s="613">
        <v>-38149</v>
      </c>
      <c r="L33" s="613">
        <v>-1927252</v>
      </c>
      <c r="M33" s="614">
        <v>-4094185</v>
      </c>
    </row>
    <row r="34" spans="2:13" s="590" customFormat="1" ht="18" customHeight="1">
      <c r="B34" s="589"/>
      <c r="D34" s="591" t="s">
        <v>757</v>
      </c>
      <c r="E34" s="596">
        <v>-2314292</v>
      </c>
      <c r="F34" s="597">
        <v>-2212</v>
      </c>
      <c r="G34" s="597">
        <v>-4352</v>
      </c>
      <c r="H34" s="597">
        <v>-870126</v>
      </c>
      <c r="I34" s="638"/>
      <c r="J34" s="613">
        <v>-151475</v>
      </c>
      <c r="K34" s="613">
        <v>-18561</v>
      </c>
      <c r="L34" s="613">
        <v>-1224114</v>
      </c>
      <c r="M34" s="614">
        <v>-3737516</v>
      </c>
    </row>
    <row r="35" spans="2:13" s="590" customFormat="1" ht="18" customHeight="1">
      <c r="B35" s="589"/>
      <c r="D35" s="591" t="s">
        <v>758</v>
      </c>
      <c r="E35" s="596">
        <v>-2591870</v>
      </c>
      <c r="F35" s="597">
        <v>-5048</v>
      </c>
      <c r="G35" s="597">
        <v>-3672</v>
      </c>
      <c r="H35" s="597">
        <v>-955822</v>
      </c>
      <c r="I35" s="638"/>
      <c r="J35" s="613">
        <v>-162161</v>
      </c>
      <c r="K35" s="613">
        <v>-30560</v>
      </c>
      <c r="L35" s="613">
        <v>-987731</v>
      </c>
      <c r="M35" s="614">
        <v>-4225396</v>
      </c>
    </row>
    <row r="36" spans="2:13" s="590" customFormat="1" ht="18" customHeight="1">
      <c r="B36" s="589"/>
      <c r="D36" s="591" t="s">
        <v>759</v>
      </c>
      <c r="E36" s="596">
        <v>-1716625</v>
      </c>
      <c r="F36" s="597">
        <v>-2466</v>
      </c>
      <c r="G36" s="597">
        <v>-5429</v>
      </c>
      <c r="H36" s="597">
        <v>-608831</v>
      </c>
      <c r="I36" s="638"/>
      <c r="J36" s="613">
        <v>-263045</v>
      </c>
      <c r="K36" s="613">
        <v>-22697</v>
      </c>
      <c r="L36" s="613">
        <v>-1537286</v>
      </c>
      <c r="M36" s="614">
        <v>-4793916</v>
      </c>
    </row>
    <row r="37" spans="2:13" s="590" customFormat="1" ht="18" customHeight="1">
      <c r="B37" s="589"/>
      <c r="D37" s="591" t="s">
        <v>760</v>
      </c>
      <c r="E37" s="596">
        <v>-1955045</v>
      </c>
      <c r="F37" s="597">
        <v>-5424</v>
      </c>
      <c r="G37" s="597">
        <v>-8542</v>
      </c>
      <c r="H37" s="597">
        <v>-452491</v>
      </c>
      <c r="I37" s="638"/>
      <c r="J37" s="613">
        <v>-157987</v>
      </c>
      <c r="K37" s="613">
        <v>-21617</v>
      </c>
      <c r="L37" s="613">
        <v>-1289234</v>
      </c>
      <c r="M37" s="614">
        <v>-4862896</v>
      </c>
    </row>
    <row r="38" spans="2:13" s="590" customFormat="1" ht="18" customHeight="1">
      <c r="B38" s="589"/>
      <c r="D38" s="591" t="s">
        <v>761</v>
      </c>
      <c r="E38" s="596">
        <v>-2044487</v>
      </c>
      <c r="F38" s="596">
        <v>-3196</v>
      </c>
      <c r="G38" s="596">
        <v>-11827</v>
      </c>
      <c r="H38" s="596">
        <v>-485426</v>
      </c>
      <c r="I38" s="638"/>
      <c r="J38" s="615">
        <v>-369432</v>
      </c>
      <c r="K38" s="615">
        <v>-42459</v>
      </c>
      <c r="L38" s="615">
        <v>-1161227</v>
      </c>
      <c r="M38" s="639">
        <v>-4106660</v>
      </c>
    </row>
    <row r="39" spans="2:13" s="590" customFormat="1" ht="18" customHeight="1">
      <c r="B39" s="589"/>
      <c r="D39" s="591" t="s">
        <v>762</v>
      </c>
      <c r="E39" s="596">
        <v>-2121717</v>
      </c>
      <c r="F39" s="596">
        <v>-1958</v>
      </c>
      <c r="G39" s="596">
        <v>-12726</v>
      </c>
      <c r="H39" s="596">
        <v>-465895</v>
      </c>
      <c r="I39" s="638"/>
      <c r="J39" s="615">
        <v>-422558</v>
      </c>
      <c r="K39" s="615">
        <v>-50741</v>
      </c>
      <c r="L39" s="615">
        <v>-671893</v>
      </c>
      <c r="M39" s="639">
        <v>-2998555</v>
      </c>
    </row>
    <row r="40" spans="2:13" s="590" customFormat="1" ht="18" customHeight="1">
      <c r="B40" s="589"/>
      <c r="D40" s="591" t="s">
        <v>763</v>
      </c>
      <c r="E40" s="596">
        <v>-2547397</v>
      </c>
      <c r="F40" s="596">
        <v>-957</v>
      </c>
      <c r="G40" s="601"/>
      <c r="H40" s="596">
        <v>-291374</v>
      </c>
      <c r="I40" s="638"/>
      <c r="J40" s="615">
        <v>-403822</v>
      </c>
      <c r="K40" s="615">
        <v>-76617</v>
      </c>
      <c r="L40" s="615">
        <v>-1014966</v>
      </c>
      <c r="M40" s="639">
        <v>-2695896</v>
      </c>
    </row>
    <row r="41" spans="2:13" s="590" customFormat="1" ht="18" customHeight="1">
      <c r="B41" s="589"/>
      <c r="D41" s="602" t="s">
        <v>752</v>
      </c>
      <c r="E41" s="596">
        <v>-2241893</v>
      </c>
      <c r="F41" s="596">
        <v>0</v>
      </c>
      <c r="G41" s="601"/>
      <c r="H41" s="596">
        <v>-261415</v>
      </c>
      <c r="I41" s="640"/>
      <c r="J41" s="615">
        <v>-331601</v>
      </c>
      <c r="K41" s="615">
        <v>-55135</v>
      </c>
      <c r="L41" s="615">
        <v>-885560</v>
      </c>
      <c r="M41" s="639">
        <v>-2425753</v>
      </c>
    </row>
    <row r="42" spans="2:13" s="590" customFormat="1" ht="18" customHeight="1">
      <c r="B42" s="589"/>
      <c r="D42" s="602" t="s">
        <v>771</v>
      </c>
      <c r="E42" s="596">
        <v>-1842668</v>
      </c>
      <c r="F42" s="601"/>
      <c r="G42" s="601"/>
      <c r="H42" s="596">
        <v>-268578</v>
      </c>
      <c r="I42" s="638"/>
      <c r="J42" s="615">
        <v>-275317</v>
      </c>
      <c r="K42" s="615">
        <v>-44939</v>
      </c>
      <c r="L42" s="615">
        <v>-2027019</v>
      </c>
      <c r="M42" s="639">
        <v>-1872811</v>
      </c>
    </row>
    <row r="43" spans="2:13" s="590" customFormat="1" ht="18" customHeight="1">
      <c r="B43" s="589"/>
      <c r="D43" s="602" t="s">
        <v>778</v>
      </c>
      <c r="E43" s="596">
        <v>-4058544</v>
      </c>
      <c r="F43" s="601"/>
      <c r="G43" s="601"/>
      <c r="H43" s="596">
        <v>-274976</v>
      </c>
      <c r="I43" s="638"/>
      <c r="J43" s="615">
        <v>-379709</v>
      </c>
      <c r="K43" s="615">
        <v>-55795</v>
      </c>
      <c r="L43" s="615">
        <v>-3225959</v>
      </c>
      <c r="M43" s="639">
        <v>-2137669</v>
      </c>
    </row>
    <row r="44" spans="2:13" s="590" customFormat="1" ht="18" customHeight="1">
      <c r="B44" s="589"/>
      <c r="D44" s="602" t="s">
        <v>790</v>
      </c>
      <c r="E44" s="596">
        <v>-3253998</v>
      </c>
      <c r="F44" s="601"/>
      <c r="G44" s="603"/>
      <c r="H44" s="596">
        <v>-204064</v>
      </c>
      <c r="I44" s="638"/>
      <c r="J44" s="615">
        <v>-523778</v>
      </c>
      <c r="K44" s="615">
        <v>-81046</v>
      </c>
      <c r="L44" s="615">
        <v>-3670879</v>
      </c>
      <c r="M44" s="614">
        <v>-1737783</v>
      </c>
    </row>
    <row r="45" spans="2:13" s="590" customFormat="1" ht="18" customHeight="1">
      <c r="B45" s="589"/>
      <c r="D45" s="602" t="s">
        <v>797</v>
      </c>
      <c r="E45" s="596">
        <v>-2465972</v>
      </c>
      <c r="F45" s="601"/>
      <c r="G45" s="603"/>
      <c r="H45" s="596">
        <v>-130392</v>
      </c>
      <c r="I45" s="638"/>
      <c r="J45" s="615">
        <v>-256824</v>
      </c>
      <c r="K45" s="615">
        <v>-76410</v>
      </c>
      <c r="L45" s="615">
        <v>-3329255</v>
      </c>
      <c r="M45" s="614">
        <v>-1894487</v>
      </c>
    </row>
    <row r="46" spans="2:13" s="590" customFormat="1" ht="18" customHeight="1">
      <c r="B46" s="589"/>
      <c r="D46" s="602" t="s">
        <v>840</v>
      </c>
      <c r="E46" s="596">
        <v>-2023379</v>
      </c>
      <c r="F46" s="601"/>
      <c r="G46" s="603"/>
      <c r="H46" s="596">
        <v>-183319</v>
      </c>
      <c r="I46" s="638"/>
      <c r="J46" s="615">
        <v>-374892</v>
      </c>
      <c r="K46" s="615">
        <v>-85428</v>
      </c>
      <c r="L46" s="615">
        <v>-2057572</v>
      </c>
      <c r="M46" s="614">
        <v>-2339238</v>
      </c>
    </row>
    <row r="47" spans="2:13" s="590" customFormat="1" ht="18" customHeight="1" thickBot="1">
      <c r="B47" s="589"/>
      <c r="D47" s="616" t="s">
        <v>350</v>
      </c>
      <c r="E47" s="645">
        <f>E46-E45</f>
        <v>442593</v>
      </c>
      <c r="F47" s="601"/>
      <c r="G47" s="629"/>
      <c r="H47" s="617">
        <f>H46-H45</f>
        <v>-52927</v>
      </c>
      <c r="I47" s="629"/>
      <c r="J47" s="617">
        <f>J46-J45</f>
        <v>-118068</v>
      </c>
      <c r="K47" s="617">
        <f>K46-K45</f>
        <v>-9018</v>
      </c>
      <c r="L47" s="645">
        <f>L46-L45</f>
        <v>1271683</v>
      </c>
      <c r="M47" s="641">
        <f>M46-M45</f>
        <v>-444751</v>
      </c>
    </row>
    <row r="48" spans="2:13" s="590" customFormat="1" ht="15" customHeight="1" thickBot="1">
      <c r="B48" s="589"/>
      <c r="E48" s="589"/>
      <c r="F48" s="605"/>
      <c r="G48" s="605"/>
      <c r="H48" s="605"/>
    </row>
    <row r="49" spans="2:12" s="590" customFormat="1" ht="18" customHeight="1">
      <c r="B49" s="589"/>
      <c r="D49" s="1111"/>
      <c r="E49" s="1128" t="s">
        <v>353</v>
      </c>
      <c r="F49" s="1129"/>
      <c r="G49" s="1129"/>
      <c r="H49" s="1129"/>
      <c r="I49" s="1130"/>
      <c r="J49" s="1131" t="s">
        <v>132</v>
      </c>
      <c r="K49" s="1115" t="s">
        <v>112</v>
      </c>
      <c r="L49" s="1117" t="s">
        <v>106</v>
      </c>
    </row>
    <row r="50" spans="2:12" s="590" customFormat="1" ht="15" customHeight="1">
      <c r="B50" s="589"/>
      <c r="D50" s="1112"/>
      <c r="E50" s="635" t="s">
        <v>358</v>
      </c>
      <c r="F50" s="636" t="s">
        <v>732</v>
      </c>
      <c r="G50" s="636" t="s">
        <v>733</v>
      </c>
      <c r="H50" s="636" t="s">
        <v>359</v>
      </c>
      <c r="I50" s="636" t="s">
        <v>360</v>
      </c>
      <c r="J50" s="1132"/>
      <c r="K50" s="1116"/>
      <c r="L50" s="1118"/>
    </row>
    <row r="51" spans="2:12" s="590" customFormat="1" ht="18" hidden="1" customHeight="1">
      <c r="B51" s="589"/>
      <c r="D51" s="591" t="s">
        <v>754</v>
      </c>
      <c r="E51" s="644">
        <v>-179902</v>
      </c>
      <c r="F51" s="611">
        <v>-74151</v>
      </c>
      <c r="G51" s="640"/>
      <c r="H51" s="611">
        <v>-535957</v>
      </c>
      <c r="I51" s="611">
        <v>-245029</v>
      </c>
      <c r="J51" s="593">
        <f t="shared" ref="J51:J67" si="2">SUM(E30:M30,E51:I51)</f>
        <v>-7591227</v>
      </c>
      <c r="K51" s="594">
        <f>I297</f>
        <v>28106028</v>
      </c>
      <c r="L51" s="595">
        <f t="shared" ref="L51:L63" si="3">ROUNDDOWN(J51/K51*100,2)</f>
        <v>-27</v>
      </c>
    </row>
    <row r="52" spans="2:12" s="590" customFormat="1" ht="18" hidden="1" customHeight="1">
      <c r="B52" s="589"/>
      <c r="D52" s="591" t="s">
        <v>755</v>
      </c>
      <c r="E52" s="644">
        <v>-182275</v>
      </c>
      <c r="F52" s="611">
        <v>-53311</v>
      </c>
      <c r="G52" s="640"/>
      <c r="H52" s="611">
        <v>-306833</v>
      </c>
      <c r="I52" s="611">
        <v>-321749</v>
      </c>
      <c r="J52" s="593">
        <f t="shared" si="2"/>
        <v>-8067128</v>
      </c>
      <c r="K52" s="594">
        <f>I298</f>
        <v>27885456</v>
      </c>
      <c r="L52" s="595">
        <f t="shared" si="3"/>
        <v>-28.92</v>
      </c>
    </row>
    <row r="53" spans="2:12" s="590" customFormat="1" ht="18" hidden="1" customHeight="1">
      <c r="B53" s="589"/>
      <c r="D53" s="591" t="s">
        <v>756</v>
      </c>
      <c r="E53" s="615">
        <v>-442541</v>
      </c>
      <c r="F53" s="613">
        <v>-38460</v>
      </c>
      <c r="G53" s="638"/>
      <c r="H53" s="613">
        <v>-289581</v>
      </c>
      <c r="I53" s="613">
        <v>-327172</v>
      </c>
      <c r="J53" s="593">
        <f t="shared" si="2"/>
        <v>-9749287</v>
      </c>
      <c r="K53" s="594">
        <f>I299</f>
        <v>27455995</v>
      </c>
      <c r="L53" s="595">
        <f t="shared" si="3"/>
        <v>-35.5</v>
      </c>
    </row>
    <row r="54" spans="2:12" s="590" customFormat="1" ht="18" customHeight="1">
      <c r="B54" s="589"/>
      <c r="D54" s="591" t="s">
        <v>824</v>
      </c>
      <c r="E54" s="615">
        <v>-213280</v>
      </c>
      <c r="F54" s="613">
        <v>-18362</v>
      </c>
      <c r="G54" s="638"/>
      <c r="H54" s="613">
        <v>-560149</v>
      </c>
      <c r="I54" s="613">
        <v>-470284</v>
      </c>
      <c r="J54" s="593">
        <f t="shared" si="2"/>
        <v>-10029493</v>
      </c>
      <c r="K54" s="594">
        <v>27533238</v>
      </c>
      <c r="L54" s="595">
        <f t="shared" si="3"/>
        <v>-36.42</v>
      </c>
    </row>
    <row r="55" spans="2:12" s="590" customFormat="1" ht="18" customHeight="1">
      <c r="B55" s="589"/>
      <c r="D55" s="591" t="s">
        <v>757</v>
      </c>
      <c r="E55" s="615">
        <v>-274201</v>
      </c>
      <c r="F55" s="613">
        <v>-33651</v>
      </c>
      <c r="G55" s="638"/>
      <c r="H55" s="613">
        <v>-673291</v>
      </c>
      <c r="I55" s="613">
        <v>-393205</v>
      </c>
      <c r="J55" s="593">
        <f t="shared" si="2"/>
        <v>-9696996</v>
      </c>
      <c r="K55" s="594">
        <v>27635521</v>
      </c>
      <c r="L55" s="595">
        <f t="shared" si="3"/>
        <v>-35.08</v>
      </c>
    </row>
    <row r="56" spans="2:12" s="590" customFormat="1" ht="18" customHeight="1">
      <c r="B56" s="589"/>
      <c r="D56" s="591" t="s">
        <v>758</v>
      </c>
      <c r="E56" s="615">
        <v>-297074</v>
      </c>
      <c r="F56" s="613">
        <v>-27626</v>
      </c>
      <c r="G56" s="638"/>
      <c r="H56" s="613">
        <v>-585443</v>
      </c>
      <c r="I56" s="613">
        <v>-295698</v>
      </c>
      <c r="J56" s="593">
        <f t="shared" si="2"/>
        <v>-10168101</v>
      </c>
      <c r="K56" s="598">
        <v>27912779</v>
      </c>
      <c r="L56" s="595">
        <f t="shared" si="3"/>
        <v>-36.42</v>
      </c>
    </row>
    <row r="57" spans="2:12" s="590" customFormat="1" ht="18" customHeight="1">
      <c r="B57" s="589"/>
      <c r="D57" s="591" t="s">
        <v>759</v>
      </c>
      <c r="E57" s="615">
        <v>-501808</v>
      </c>
      <c r="F57" s="613">
        <v>-28440</v>
      </c>
      <c r="G57" s="638"/>
      <c r="H57" s="613">
        <v>-589780</v>
      </c>
      <c r="I57" s="613">
        <v>-259438</v>
      </c>
      <c r="J57" s="593">
        <f t="shared" si="2"/>
        <v>-10329761</v>
      </c>
      <c r="K57" s="598">
        <v>27772944</v>
      </c>
      <c r="L57" s="595">
        <f t="shared" si="3"/>
        <v>-37.19</v>
      </c>
    </row>
    <row r="58" spans="2:12" s="590" customFormat="1" ht="18" customHeight="1">
      <c r="B58" s="589"/>
      <c r="D58" s="591" t="s">
        <v>760</v>
      </c>
      <c r="E58" s="615">
        <v>-622562</v>
      </c>
      <c r="F58" s="613">
        <v>-11075</v>
      </c>
      <c r="G58" s="638"/>
      <c r="H58" s="613">
        <v>-504425</v>
      </c>
      <c r="I58" s="613">
        <v>-213655</v>
      </c>
      <c r="J58" s="593">
        <f t="shared" si="2"/>
        <v>-10104953</v>
      </c>
      <c r="K58" s="598">
        <v>28390874</v>
      </c>
      <c r="L58" s="595">
        <f t="shared" si="3"/>
        <v>-35.590000000000003</v>
      </c>
    </row>
    <row r="59" spans="2:12" s="590" customFormat="1" ht="18" customHeight="1">
      <c r="B59" s="589"/>
      <c r="D59" s="591" t="s">
        <v>761</v>
      </c>
      <c r="E59" s="615">
        <v>-564208</v>
      </c>
      <c r="F59" s="615">
        <v>-6142</v>
      </c>
      <c r="G59" s="638"/>
      <c r="H59" s="615">
        <v>-403242</v>
      </c>
      <c r="I59" s="615">
        <v>-163487</v>
      </c>
      <c r="J59" s="593">
        <f t="shared" si="2"/>
        <v>-9361793</v>
      </c>
      <c r="K59" s="599">
        <v>28578322</v>
      </c>
      <c r="L59" s="595">
        <f t="shared" si="3"/>
        <v>-32.75</v>
      </c>
    </row>
    <row r="60" spans="2:12" s="590" customFormat="1" ht="18" customHeight="1">
      <c r="B60" s="589"/>
      <c r="D60" s="591" t="s">
        <v>762</v>
      </c>
      <c r="E60" s="615">
        <v>-582510</v>
      </c>
      <c r="F60" s="615">
        <v>-3873</v>
      </c>
      <c r="G60" s="640"/>
      <c r="H60" s="615">
        <v>-323702</v>
      </c>
      <c r="I60" s="615">
        <v>-132546</v>
      </c>
      <c r="J60" s="593">
        <f t="shared" si="2"/>
        <v>-7788674</v>
      </c>
      <c r="K60" s="599">
        <v>28706679</v>
      </c>
      <c r="L60" s="600">
        <f t="shared" si="3"/>
        <v>-27.13</v>
      </c>
    </row>
    <row r="61" spans="2:12" s="590" customFormat="1" ht="18" customHeight="1">
      <c r="B61" s="589"/>
      <c r="D61" s="591" t="s">
        <v>763</v>
      </c>
      <c r="E61" s="615">
        <v>-640509</v>
      </c>
      <c r="F61" s="615">
        <v>-9077</v>
      </c>
      <c r="G61" s="615">
        <v>-12865</v>
      </c>
      <c r="H61" s="615">
        <v>-419724</v>
      </c>
      <c r="I61" s="615">
        <v>0</v>
      </c>
      <c r="J61" s="593">
        <f t="shared" si="2"/>
        <v>-8113204</v>
      </c>
      <c r="K61" s="599">
        <v>28810894</v>
      </c>
      <c r="L61" s="600">
        <f t="shared" si="3"/>
        <v>-28.16</v>
      </c>
    </row>
    <row r="62" spans="2:12" s="590" customFormat="1" ht="18" customHeight="1">
      <c r="B62" s="589"/>
      <c r="D62" s="602" t="s">
        <v>752</v>
      </c>
      <c r="E62" s="615">
        <v>-724916</v>
      </c>
      <c r="F62" s="615">
        <v>-9078</v>
      </c>
      <c r="G62" s="615">
        <v>-12865</v>
      </c>
      <c r="H62" s="615">
        <v>-221968</v>
      </c>
      <c r="I62" s="640"/>
      <c r="J62" s="596">
        <f t="shared" si="2"/>
        <v>-7170184</v>
      </c>
      <c r="K62" s="599">
        <v>28724375</v>
      </c>
      <c r="L62" s="600">
        <f t="shared" si="3"/>
        <v>-24.96</v>
      </c>
    </row>
    <row r="63" spans="2:12" s="590" customFormat="1" ht="18" customHeight="1">
      <c r="B63" s="589"/>
      <c r="D63" s="602" t="s">
        <v>771</v>
      </c>
      <c r="E63" s="615">
        <v>-804331</v>
      </c>
      <c r="F63" s="615">
        <v>-18392</v>
      </c>
      <c r="G63" s="615">
        <v>-12866</v>
      </c>
      <c r="H63" s="615">
        <v>-299738</v>
      </c>
      <c r="I63" s="640"/>
      <c r="J63" s="596">
        <f t="shared" si="2"/>
        <v>-7466659</v>
      </c>
      <c r="K63" s="599">
        <v>29114831</v>
      </c>
      <c r="L63" s="600">
        <f t="shared" si="3"/>
        <v>-25.64</v>
      </c>
    </row>
    <row r="64" spans="2:12" s="590" customFormat="1" ht="18" customHeight="1">
      <c r="B64" s="589"/>
      <c r="D64" s="602" t="s">
        <v>778</v>
      </c>
      <c r="E64" s="615">
        <v>-828036</v>
      </c>
      <c r="F64" s="615">
        <v>-9077</v>
      </c>
      <c r="G64" s="615">
        <v>-12866</v>
      </c>
      <c r="H64" s="615">
        <v>-367300</v>
      </c>
      <c r="I64" s="640"/>
      <c r="J64" s="596">
        <f t="shared" si="2"/>
        <v>-11349931</v>
      </c>
      <c r="K64" s="599">
        <v>30251923</v>
      </c>
      <c r="L64" s="600">
        <f>ROUNDDOWN(J64/K64*100,2)</f>
        <v>-37.51</v>
      </c>
    </row>
    <row r="65" spans="2:15" s="590" customFormat="1" ht="18" customHeight="1">
      <c r="B65" s="589"/>
      <c r="D65" s="602" t="s">
        <v>790</v>
      </c>
      <c r="E65" s="615">
        <v>-893801</v>
      </c>
      <c r="F65" s="615">
        <v>-9077</v>
      </c>
      <c r="G65" s="615">
        <v>-12865</v>
      </c>
      <c r="H65" s="615">
        <v>-379929</v>
      </c>
      <c r="I65" s="638"/>
      <c r="J65" s="596">
        <f t="shared" si="2"/>
        <v>-10767220</v>
      </c>
      <c r="K65" s="599">
        <v>29489961</v>
      </c>
      <c r="L65" s="600">
        <f>ROUNDDOWN(J65/K65*100,2)</f>
        <v>-36.51</v>
      </c>
    </row>
    <row r="66" spans="2:15" s="590" customFormat="1" ht="18" customHeight="1">
      <c r="B66" s="589"/>
      <c r="D66" s="602" t="s">
        <v>797</v>
      </c>
      <c r="E66" s="615">
        <v>-935393</v>
      </c>
      <c r="F66" s="615">
        <v>-21265</v>
      </c>
      <c r="G66" s="615">
        <v>-12750</v>
      </c>
      <c r="H66" s="615">
        <v>-190507</v>
      </c>
      <c r="I66" s="638"/>
      <c r="J66" s="596">
        <f t="shared" si="2"/>
        <v>-9313255</v>
      </c>
      <c r="K66" s="599">
        <v>30453898</v>
      </c>
      <c r="L66" s="600">
        <f>ROUNDDOWN(J66/K66*100,2)</f>
        <v>-30.58</v>
      </c>
    </row>
    <row r="67" spans="2:15" s="590" customFormat="1" ht="18" customHeight="1">
      <c r="B67" s="589"/>
      <c r="D67" s="602" t="s">
        <v>840</v>
      </c>
      <c r="E67" s="615">
        <v>-799376</v>
      </c>
      <c r="F67" s="615">
        <v>-17278</v>
      </c>
      <c r="G67" s="615">
        <v>-12483</v>
      </c>
      <c r="H67" s="615">
        <v>-340444</v>
      </c>
      <c r="I67" s="638"/>
      <c r="J67" s="596">
        <f t="shared" si="2"/>
        <v>-8233409</v>
      </c>
      <c r="K67" s="599">
        <v>31417985</v>
      </c>
      <c r="L67" s="600">
        <f>ROUNDDOWN(J67/K67*100,2)</f>
        <v>-26.2</v>
      </c>
    </row>
    <row r="68" spans="2:15" s="590" customFormat="1" ht="18" customHeight="1" thickBot="1">
      <c r="B68" s="589"/>
      <c r="D68" s="616" t="s">
        <v>350</v>
      </c>
      <c r="E68" s="617">
        <f>E67-E66</f>
        <v>136017</v>
      </c>
      <c r="F68" s="617">
        <f>F67-F66</f>
        <v>3987</v>
      </c>
      <c r="G68" s="617">
        <f>G67-G66</f>
        <v>267</v>
      </c>
      <c r="H68" s="617">
        <f>H67-H66</f>
        <v>-149937</v>
      </c>
      <c r="I68" s="629"/>
      <c r="J68" s="617">
        <f>J67-J66</f>
        <v>1079846</v>
      </c>
      <c r="K68" s="630">
        <f>K67-K66</f>
        <v>964087</v>
      </c>
      <c r="L68" s="646">
        <f>L67-L66</f>
        <v>4.379999999999999</v>
      </c>
    </row>
    <row r="69" spans="2:15" ht="17.25" customHeight="1">
      <c r="D69" s="590" t="s">
        <v>848</v>
      </c>
    </row>
    <row r="70" spans="2:15" ht="17.25" customHeight="1">
      <c r="D70" s="605" t="s">
        <v>851</v>
      </c>
    </row>
    <row r="71" spans="2:15" ht="17.25" customHeight="1">
      <c r="D71" s="590" t="s">
        <v>849</v>
      </c>
    </row>
    <row r="72" spans="2:15" ht="17.25" customHeight="1">
      <c r="D72" s="590" t="s">
        <v>850</v>
      </c>
    </row>
    <row r="73" spans="2:15" s="590" customFormat="1" ht="17.25" customHeight="1">
      <c r="B73" s="589" t="s">
        <v>91</v>
      </c>
      <c r="C73" s="590" t="s">
        <v>182</v>
      </c>
      <c r="E73" s="589"/>
      <c r="F73" s="605"/>
      <c r="G73" s="605"/>
      <c r="H73" s="605"/>
    </row>
    <row r="74" spans="2:15" s="590" customFormat="1" ht="6" customHeight="1" thickBot="1">
      <c r="B74" s="589"/>
      <c r="E74" s="589"/>
      <c r="F74" s="605"/>
      <c r="G74" s="605"/>
      <c r="H74" s="605"/>
    </row>
    <row r="75" spans="2:15" s="634" customFormat="1" ht="35.25" customHeight="1">
      <c r="D75" s="631"/>
      <c r="E75" s="648" t="s">
        <v>24</v>
      </c>
      <c r="F75" s="649" t="s">
        <v>362</v>
      </c>
      <c r="G75" s="643" t="s">
        <v>291</v>
      </c>
      <c r="H75" s="649" t="s">
        <v>363</v>
      </c>
      <c r="I75" s="650" t="s">
        <v>366</v>
      </c>
      <c r="J75" s="651" t="s">
        <v>364</v>
      </c>
      <c r="K75" s="652" t="s">
        <v>365</v>
      </c>
      <c r="L75" s="642" t="s">
        <v>368</v>
      </c>
      <c r="M75" s="653" t="s">
        <v>367</v>
      </c>
    </row>
    <row r="76" spans="2:15" s="590" customFormat="1" ht="13.5" hidden="1" customHeight="1">
      <c r="B76" s="589"/>
      <c r="D76" s="591" t="s">
        <v>361</v>
      </c>
      <c r="E76" s="592">
        <v>4187461</v>
      </c>
      <c r="F76" s="593">
        <v>1440455</v>
      </c>
      <c r="G76" s="593">
        <v>154606</v>
      </c>
      <c r="H76" s="593">
        <v>2385562</v>
      </c>
      <c r="I76" s="594">
        <v>26455482</v>
      </c>
      <c r="J76" s="654">
        <f t="shared" ref="J76:J90" si="4">(E76+F76-G76-H76)/(I76-H76)*100</f>
        <v>12.828243716638859</v>
      </c>
      <c r="K76" s="655"/>
      <c r="L76" s="644">
        <f t="shared" ref="L76:L89" si="5">I76-H76</f>
        <v>24069920</v>
      </c>
      <c r="M76" s="612">
        <f t="shared" ref="M76:M90" si="6">E76+F76-G76-H76</f>
        <v>3087748</v>
      </c>
    </row>
    <row r="77" spans="2:15" s="590" customFormat="1" ht="13.5" hidden="1" customHeight="1">
      <c r="B77" s="589"/>
      <c r="D77" s="591" t="s">
        <v>349</v>
      </c>
      <c r="E77" s="592">
        <v>4512535</v>
      </c>
      <c r="F77" s="593">
        <v>1494782</v>
      </c>
      <c r="G77" s="593">
        <v>410430</v>
      </c>
      <c r="H77" s="593">
        <v>2760693</v>
      </c>
      <c r="I77" s="594">
        <v>27189912</v>
      </c>
      <c r="J77" s="654">
        <f t="shared" si="4"/>
        <v>11.609843114509719</v>
      </c>
      <c r="K77" s="655"/>
      <c r="L77" s="644">
        <f t="shared" si="5"/>
        <v>24429219</v>
      </c>
      <c r="M77" s="612">
        <f t="shared" si="6"/>
        <v>2836194</v>
      </c>
    </row>
    <row r="78" spans="2:15" s="590" customFormat="1" ht="19.5" hidden="1" customHeight="1">
      <c r="B78" s="589"/>
      <c r="D78" s="591" t="s">
        <v>754</v>
      </c>
      <c r="E78" s="592">
        <v>4507276</v>
      </c>
      <c r="F78" s="593">
        <v>1397076</v>
      </c>
      <c r="G78" s="593">
        <v>451616</v>
      </c>
      <c r="H78" s="593">
        <v>2977983</v>
      </c>
      <c r="I78" s="594">
        <f>I297</f>
        <v>28106028</v>
      </c>
      <c r="J78" s="654">
        <f t="shared" si="4"/>
        <v>9.848569596241969</v>
      </c>
      <c r="K78" s="655">
        <f>ROUNDDOWN((J76+J77+J78)/3,1)</f>
        <v>11.4</v>
      </c>
      <c r="L78" s="644">
        <f t="shared" si="5"/>
        <v>25128045</v>
      </c>
      <c r="M78" s="612">
        <f t="shared" si="6"/>
        <v>2474753</v>
      </c>
    </row>
    <row r="79" spans="2:15" s="590" customFormat="1" ht="19.5" hidden="1" customHeight="1">
      <c r="B79" s="589"/>
      <c r="D79" s="591" t="s">
        <v>755</v>
      </c>
      <c r="E79" s="592">
        <v>4496748</v>
      </c>
      <c r="F79" s="593">
        <v>1461404</v>
      </c>
      <c r="G79" s="593">
        <v>585950</v>
      </c>
      <c r="H79" s="593">
        <v>3094724</v>
      </c>
      <c r="I79" s="594">
        <f>I298</f>
        <v>27885456</v>
      </c>
      <c r="J79" s="654">
        <f t="shared" si="4"/>
        <v>9.1868122328941322</v>
      </c>
      <c r="K79" s="655">
        <f t="shared" ref="K79:K88" si="7">ROUNDDOWN((J77+J78+J79)/3,1)</f>
        <v>10.199999999999999</v>
      </c>
      <c r="L79" s="644">
        <f t="shared" si="5"/>
        <v>24790732</v>
      </c>
      <c r="M79" s="612">
        <f t="shared" si="6"/>
        <v>2277478</v>
      </c>
    </row>
    <row r="80" spans="2:15" s="590" customFormat="1" ht="19.5" hidden="1" customHeight="1">
      <c r="B80" s="589"/>
      <c r="D80" s="591" t="s">
        <v>756</v>
      </c>
      <c r="E80" s="596">
        <v>4491255</v>
      </c>
      <c r="F80" s="597">
        <v>1220339</v>
      </c>
      <c r="G80" s="597">
        <v>591164</v>
      </c>
      <c r="H80" s="597">
        <v>3219209</v>
      </c>
      <c r="I80" s="594">
        <f>I299</f>
        <v>27455995</v>
      </c>
      <c r="J80" s="654">
        <f t="shared" si="4"/>
        <v>7.8443610468813807</v>
      </c>
      <c r="K80" s="655">
        <f t="shared" si="7"/>
        <v>8.9</v>
      </c>
      <c r="L80" s="644">
        <f t="shared" si="5"/>
        <v>24236786</v>
      </c>
      <c r="M80" s="612">
        <f t="shared" si="6"/>
        <v>1901221</v>
      </c>
    </row>
    <row r="81" spans="2:17" s="590" customFormat="1" ht="19.5" customHeight="1">
      <c r="B81" s="589"/>
      <c r="D81" s="591" t="s">
        <v>824</v>
      </c>
      <c r="E81" s="596">
        <v>4572346</v>
      </c>
      <c r="F81" s="597">
        <v>1039428</v>
      </c>
      <c r="G81" s="597">
        <v>607984</v>
      </c>
      <c r="H81" s="597">
        <v>3299225</v>
      </c>
      <c r="I81" s="594">
        <v>27533238</v>
      </c>
      <c r="J81" s="654">
        <f>(E81+F81-G81-H81)/(I81-H81)*100</f>
        <v>7.0337710885935403</v>
      </c>
      <c r="K81" s="655">
        <f t="shared" si="7"/>
        <v>8</v>
      </c>
      <c r="L81" s="644">
        <f>I81-H81</f>
        <v>24234013</v>
      </c>
      <c r="M81" s="612">
        <f>E81+F81-G81-H81</f>
        <v>1704565</v>
      </c>
      <c r="Q81" s="590">
        <f>M81/L81</f>
        <v>7.0337710885935406E-2</v>
      </c>
    </row>
    <row r="82" spans="2:17" s="590" customFormat="1" ht="19.5" customHeight="1">
      <c r="B82" s="589"/>
      <c r="D82" s="591" t="s">
        <v>757</v>
      </c>
      <c r="E82" s="596">
        <v>4651445</v>
      </c>
      <c r="F82" s="597">
        <v>934126</v>
      </c>
      <c r="G82" s="597">
        <v>710448</v>
      </c>
      <c r="H82" s="597">
        <v>3419376</v>
      </c>
      <c r="I82" s="594">
        <v>27635521</v>
      </c>
      <c r="J82" s="654">
        <f>(E82+F82-G82-H82)/(I82-H82)*100</f>
        <v>6.0114729243651288</v>
      </c>
      <c r="K82" s="655">
        <f t="shared" si="7"/>
        <v>6.9</v>
      </c>
      <c r="L82" s="644">
        <f>I82-H82</f>
        <v>24216145</v>
      </c>
      <c r="M82" s="612">
        <f>E82+F82-G82-H82</f>
        <v>1455747</v>
      </c>
      <c r="Q82" s="590">
        <f>M82/L82</f>
        <v>6.0114729243651292E-2</v>
      </c>
    </row>
    <row r="83" spans="2:17" s="590" customFormat="1" ht="19.5" customHeight="1">
      <c r="B83" s="589"/>
      <c r="D83" s="591" t="s">
        <v>758</v>
      </c>
      <c r="E83" s="596">
        <v>4580925</v>
      </c>
      <c r="F83" s="597">
        <v>1016740</v>
      </c>
      <c r="G83" s="597">
        <v>646071</v>
      </c>
      <c r="H83" s="597">
        <v>3550680</v>
      </c>
      <c r="I83" s="598">
        <v>27912779</v>
      </c>
      <c r="J83" s="654">
        <f t="shared" si="4"/>
        <v>5.7503830027125327</v>
      </c>
      <c r="K83" s="655">
        <f t="shared" si="7"/>
        <v>6.2</v>
      </c>
      <c r="L83" s="644">
        <f t="shared" si="5"/>
        <v>24362099</v>
      </c>
      <c r="M83" s="612">
        <f t="shared" si="6"/>
        <v>1400914</v>
      </c>
      <c r="Q83" s="590">
        <f>M83/L83</f>
        <v>5.7503830027125329E-2</v>
      </c>
    </row>
    <row r="84" spans="2:17" s="590" customFormat="1" ht="19.5" customHeight="1">
      <c r="B84" s="589"/>
      <c r="D84" s="591" t="s">
        <v>759</v>
      </c>
      <c r="E84" s="596">
        <v>4215404</v>
      </c>
      <c r="F84" s="597">
        <v>1063272</v>
      </c>
      <c r="G84" s="597">
        <v>782761</v>
      </c>
      <c r="H84" s="597">
        <v>3842217</v>
      </c>
      <c r="I84" s="598">
        <v>27772944</v>
      </c>
      <c r="J84" s="654">
        <f t="shared" si="4"/>
        <v>2.7316261641361752</v>
      </c>
      <c r="K84" s="655">
        <f t="shared" si="7"/>
        <v>4.8</v>
      </c>
      <c r="L84" s="644">
        <f t="shared" si="5"/>
        <v>23930727</v>
      </c>
      <c r="M84" s="612">
        <f t="shared" si="6"/>
        <v>653698</v>
      </c>
      <c r="Q84" s="590">
        <f>M84/L84</f>
        <v>2.7316261641361753E-2</v>
      </c>
    </row>
    <row r="85" spans="2:17" s="590" customFormat="1" ht="19.5" customHeight="1">
      <c r="B85" s="589"/>
      <c r="D85" s="591" t="s">
        <v>760</v>
      </c>
      <c r="E85" s="596">
        <v>3821540</v>
      </c>
      <c r="F85" s="597">
        <v>1393338</v>
      </c>
      <c r="G85" s="597">
        <v>751903</v>
      </c>
      <c r="H85" s="597">
        <v>3612656</v>
      </c>
      <c r="I85" s="598">
        <v>28390874</v>
      </c>
      <c r="J85" s="654">
        <f t="shared" si="4"/>
        <v>3.4317197467549923</v>
      </c>
      <c r="K85" s="655">
        <f t="shared" si="7"/>
        <v>3.9</v>
      </c>
      <c r="L85" s="644">
        <f t="shared" si="5"/>
        <v>24778218</v>
      </c>
      <c r="M85" s="612">
        <f t="shared" si="6"/>
        <v>850319</v>
      </c>
      <c r="Q85" s="590">
        <f>M85/L85</f>
        <v>3.4317197467549923E-2</v>
      </c>
    </row>
    <row r="86" spans="2:17" s="590" customFormat="1" ht="19.5" customHeight="1">
      <c r="B86" s="589"/>
      <c r="D86" s="591" t="s">
        <v>761</v>
      </c>
      <c r="E86" s="596">
        <v>3983083</v>
      </c>
      <c r="F86" s="596">
        <v>1441909</v>
      </c>
      <c r="G86" s="596">
        <v>780975</v>
      </c>
      <c r="H86" s="596">
        <v>3915751</v>
      </c>
      <c r="I86" s="599">
        <v>28578322</v>
      </c>
      <c r="J86" s="654">
        <f t="shared" si="4"/>
        <v>2.9529200341683759</v>
      </c>
      <c r="K86" s="655">
        <f t="shared" si="7"/>
        <v>3</v>
      </c>
      <c r="L86" s="644">
        <f t="shared" si="5"/>
        <v>24662571</v>
      </c>
      <c r="M86" s="612">
        <f t="shared" si="6"/>
        <v>728266</v>
      </c>
      <c r="Q86" s="590">
        <f t="shared" ref="Q86:Q90" si="8">M86/L86</f>
        <v>2.952920034168376E-2</v>
      </c>
    </row>
    <row r="87" spans="2:17" s="590" customFormat="1" ht="19.5" customHeight="1">
      <c r="B87" s="589"/>
      <c r="D87" s="591" t="s">
        <v>762</v>
      </c>
      <c r="E87" s="596">
        <v>4023533</v>
      </c>
      <c r="F87" s="596">
        <v>1522848</v>
      </c>
      <c r="G87" s="596">
        <v>745830</v>
      </c>
      <c r="H87" s="596">
        <v>3949042</v>
      </c>
      <c r="I87" s="599">
        <v>28706679</v>
      </c>
      <c r="J87" s="656">
        <f t="shared" si="4"/>
        <v>3.4393791297610514</v>
      </c>
      <c r="K87" s="655">
        <f t="shared" si="7"/>
        <v>3.2</v>
      </c>
      <c r="L87" s="615">
        <f t="shared" si="5"/>
        <v>24757637</v>
      </c>
      <c r="M87" s="639">
        <f t="shared" si="6"/>
        <v>851509</v>
      </c>
      <c r="Q87" s="590">
        <f t="shared" si="8"/>
        <v>3.4393791297610513E-2</v>
      </c>
    </row>
    <row r="88" spans="2:17" s="590" customFormat="1" ht="19.5" customHeight="1">
      <c r="B88" s="589"/>
      <c r="D88" s="591" t="s">
        <v>763</v>
      </c>
      <c r="E88" s="596">
        <v>4155519</v>
      </c>
      <c r="F88" s="596">
        <v>1589887</v>
      </c>
      <c r="G88" s="596">
        <v>774967</v>
      </c>
      <c r="H88" s="596">
        <v>4064157</v>
      </c>
      <c r="I88" s="599">
        <v>28810894</v>
      </c>
      <c r="J88" s="656">
        <f t="shared" si="4"/>
        <v>3.6622282768027157</v>
      </c>
      <c r="K88" s="655">
        <f t="shared" si="7"/>
        <v>3.3</v>
      </c>
      <c r="L88" s="615">
        <f t="shared" si="5"/>
        <v>24746737</v>
      </c>
      <c r="M88" s="639">
        <f t="shared" si="6"/>
        <v>906282</v>
      </c>
      <c r="Q88" s="590">
        <f t="shared" si="8"/>
        <v>3.6622282768027155E-2</v>
      </c>
    </row>
    <row r="89" spans="2:17" s="590" customFormat="1" ht="19.5" customHeight="1">
      <c r="B89" s="589"/>
      <c r="D89" s="602" t="s">
        <v>752</v>
      </c>
      <c r="E89" s="596">
        <v>4224784</v>
      </c>
      <c r="F89" s="596">
        <v>1358472</v>
      </c>
      <c r="G89" s="596">
        <v>787959</v>
      </c>
      <c r="H89" s="596">
        <v>4111949</v>
      </c>
      <c r="I89" s="599">
        <v>28724375</v>
      </c>
      <c r="J89" s="656">
        <f t="shared" si="4"/>
        <v>2.7764349601294889</v>
      </c>
      <c r="K89" s="657">
        <f t="shared" ref="K89:K94" si="9">ROUNDDOWN((J87+J88+J89)/3,1)</f>
        <v>3.2</v>
      </c>
      <c r="L89" s="615">
        <f t="shared" si="5"/>
        <v>24612426</v>
      </c>
      <c r="M89" s="639">
        <f t="shared" si="6"/>
        <v>683348</v>
      </c>
      <c r="Q89" s="590">
        <f t="shared" si="8"/>
        <v>2.776434960129489E-2</v>
      </c>
    </row>
    <row r="90" spans="2:17" s="590" customFormat="1" ht="19.5" customHeight="1">
      <c r="B90" s="589"/>
      <c r="D90" s="602" t="s">
        <v>771</v>
      </c>
      <c r="E90" s="596">
        <v>4061736</v>
      </c>
      <c r="F90" s="596">
        <v>1163480</v>
      </c>
      <c r="G90" s="596">
        <v>807560</v>
      </c>
      <c r="H90" s="596">
        <v>3848040</v>
      </c>
      <c r="I90" s="599">
        <v>29114831</v>
      </c>
      <c r="J90" s="656">
        <f t="shared" si="4"/>
        <v>2.2544057929635781</v>
      </c>
      <c r="K90" s="657">
        <f t="shared" si="9"/>
        <v>2.8</v>
      </c>
      <c r="L90" s="615">
        <f>I90-H90</f>
        <v>25266791</v>
      </c>
      <c r="M90" s="639">
        <f t="shared" si="6"/>
        <v>569616</v>
      </c>
      <c r="Q90" s="590">
        <f t="shared" si="8"/>
        <v>2.2544057929635781E-2</v>
      </c>
    </row>
    <row r="91" spans="2:17" s="590" customFormat="1" ht="19.5" customHeight="1">
      <c r="B91" s="589"/>
      <c r="D91" s="602" t="s">
        <v>778</v>
      </c>
      <c r="E91" s="596">
        <v>4102599</v>
      </c>
      <c r="F91" s="596">
        <v>1163023</v>
      </c>
      <c r="G91" s="596">
        <v>707816</v>
      </c>
      <c r="H91" s="596">
        <v>3822616</v>
      </c>
      <c r="I91" s="599">
        <v>30251923</v>
      </c>
      <c r="J91" s="656">
        <f>(E91+F91-G91-H91)/(I91-H91)*100</f>
        <v>2.7817225778943051</v>
      </c>
      <c r="K91" s="657">
        <f t="shared" si="9"/>
        <v>2.6</v>
      </c>
      <c r="L91" s="615">
        <f>I91-H91</f>
        <v>26429307</v>
      </c>
      <c r="M91" s="639">
        <f>E91+F91-G91-H91</f>
        <v>735190</v>
      </c>
      <c r="Q91" s="590">
        <f>M91/L91</f>
        <v>2.781722577894305E-2</v>
      </c>
    </row>
    <row r="92" spans="2:17" s="590" customFormat="1" ht="19.5" customHeight="1">
      <c r="B92" s="589"/>
      <c r="D92" s="602" t="s">
        <v>790</v>
      </c>
      <c r="E92" s="596">
        <v>4230171</v>
      </c>
      <c r="F92" s="596">
        <v>1074185</v>
      </c>
      <c r="G92" s="596">
        <v>698962</v>
      </c>
      <c r="H92" s="596">
        <v>3947041</v>
      </c>
      <c r="I92" s="599">
        <v>29489961</v>
      </c>
      <c r="J92" s="656">
        <f>(E92+F92-G92-H92)/(I92-H92)*100</f>
        <v>2.5774382881831834</v>
      </c>
      <c r="K92" s="657">
        <f t="shared" si="9"/>
        <v>2.5</v>
      </c>
      <c r="L92" s="615">
        <f>I92-H92</f>
        <v>25542920</v>
      </c>
      <c r="M92" s="639">
        <f>E92+F92-G92-H92</f>
        <v>658353</v>
      </c>
      <c r="Q92" s="590">
        <f>M92/L92</f>
        <v>2.5774382881831835E-2</v>
      </c>
    </row>
    <row r="93" spans="2:17" s="590" customFormat="1" ht="19.5" customHeight="1">
      <c r="B93" s="589"/>
      <c r="D93" s="602" t="s">
        <v>797</v>
      </c>
      <c r="E93" s="596">
        <v>4879798</v>
      </c>
      <c r="F93" s="596">
        <v>1125438</v>
      </c>
      <c r="G93" s="596">
        <v>631966</v>
      </c>
      <c r="H93" s="596">
        <v>4196308</v>
      </c>
      <c r="I93" s="599">
        <v>30453898</v>
      </c>
      <c r="J93" s="656">
        <f>(E93+F93-G93-H93)/(I93-H93)*100</f>
        <v>4.4823687170071587</v>
      </c>
      <c r="K93" s="657">
        <f t="shared" si="9"/>
        <v>3.2</v>
      </c>
      <c r="L93" s="615">
        <f>I93-H93</f>
        <v>26257590</v>
      </c>
      <c r="M93" s="639">
        <f>E93+F93-G93-H93</f>
        <v>1176962</v>
      </c>
      <c r="Q93" s="590">
        <f>M93/L93</f>
        <v>4.482368717007159E-2</v>
      </c>
    </row>
    <row r="94" spans="2:17" s="590" customFormat="1" ht="19.5" customHeight="1">
      <c r="B94" s="589"/>
      <c r="D94" s="602" t="s">
        <v>840</v>
      </c>
      <c r="E94" s="596">
        <v>5012890</v>
      </c>
      <c r="F94" s="596">
        <v>1280143</v>
      </c>
      <c r="G94" s="596">
        <v>696453</v>
      </c>
      <c r="H94" s="596">
        <v>4156041</v>
      </c>
      <c r="I94" s="599">
        <v>31417985</v>
      </c>
      <c r="J94" s="656">
        <f>(E94+F94-G94-H94)/(I94-H94)*100</f>
        <v>5.2840655824104106</v>
      </c>
      <c r="K94" s="657">
        <f t="shared" si="9"/>
        <v>4.0999999999999996</v>
      </c>
      <c r="L94" s="615">
        <f>I94-H94</f>
        <v>27261944</v>
      </c>
      <c r="M94" s="639">
        <f>E94+F94-G94-H94</f>
        <v>1440539</v>
      </c>
    </row>
    <row r="95" spans="2:17" s="590" customFormat="1" ht="19.5" customHeight="1" thickBot="1">
      <c r="B95" s="589"/>
      <c r="D95" s="616" t="s">
        <v>350</v>
      </c>
      <c r="E95" s="617">
        <f>E94-E93</f>
        <v>133092</v>
      </c>
      <c r="F95" s="617">
        <f t="shared" ref="F95:I95" si="10">F94-F93</f>
        <v>154705</v>
      </c>
      <c r="G95" s="617">
        <f t="shared" si="10"/>
        <v>64487</v>
      </c>
      <c r="H95" s="617">
        <f t="shared" si="10"/>
        <v>-40267</v>
      </c>
      <c r="I95" s="617">
        <f t="shared" si="10"/>
        <v>964087</v>
      </c>
      <c r="J95" s="658">
        <f>J94-J93</f>
        <v>0.80169686540325191</v>
      </c>
      <c r="K95" s="659">
        <f>K94-K93</f>
        <v>0.89999999999999947</v>
      </c>
      <c r="L95" s="617">
        <f>L94-L93</f>
        <v>1004354</v>
      </c>
      <c r="M95" s="660">
        <f>M94-M93</f>
        <v>263577</v>
      </c>
      <c r="Q95" s="590">
        <f>M95/L95</f>
        <v>0.26243436079310684</v>
      </c>
    </row>
    <row r="96" spans="2:17" s="590" customFormat="1" ht="19.5" customHeight="1">
      <c r="B96" s="589"/>
      <c r="D96" s="589" t="s">
        <v>399</v>
      </c>
      <c r="E96" s="661">
        <f>E94/E93</f>
        <v>1.0272740797877289</v>
      </c>
      <c r="F96" s="661">
        <f t="shared" ref="F96:M96" si="11">F94/F93</f>
        <v>1.1374620370024826</v>
      </c>
      <c r="G96" s="661">
        <f t="shared" si="11"/>
        <v>1.1020418819999811</v>
      </c>
      <c r="H96" s="661">
        <f t="shared" si="11"/>
        <v>0.99040418386829565</v>
      </c>
      <c r="I96" s="661">
        <f t="shared" si="11"/>
        <v>1.0316572610836221</v>
      </c>
      <c r="J96" s="661">
        <f t="shared" si="11"/>
        <v>1.1788556265711534</v>
      </c>
      <c r="K96" s="661">
        <f t="shared" si="11"/>
        <v>1.2812499999999998</v>
      </c>
      <c r="L96" s="661">
        <f t="shared" si="11"/>
        <v>1.0382500450345977</v>
      </c>
      <c r="M96" s="661">
        <f t="shared" si="11"/>
        <v>1.2239469073767888</v>
      </c>
    </row>
    <row r="97" spans="2:15" ht="18.75" customHeight="1">
      <c r="D97" s="459"/>
      <c r="F97" s="458"/>
      <c r="G97" s="458"/>
      <c r="H97" s="458"/>
      <c r="I97" s="458"/>
    </row>
    <row r="98" spans="2:15" s="590" customFormat="1" ht="5.25" customHeight="1">
      <c r="B98" s="589"/>
      <c r="D98" s="605"/>
      <c r="E98" s="589"/>
      <c r="F98" s="589"/>
      <c r="G98" s="589"/>
      <c r="H98" s="589"/>
      <c r="I98" s="589"/>
    </row>
    <row r="99" spans="2:15" s="590" customFormat="1" ht="18.75" customHeight="1">
      <c r="B99" s="589"/>
      <c r="C99" s="604" t="s">
        <v>32</v>
      </c>
      <c r="D99" s="605" t="s">
        <v>24</v>
      </c>
      <c r="E99" s="590" t="s">
        <v>873</v>
      </c>
      <c r="G99" s="589"/>
      <c r="H99" s="589"/>
      <c r="I99" s="589"/>
      <c r="O99" s="460"/>
    </row>
    <row r="100" spans="2:15" s="590" customFormat="1" ht="18.75" customHeight="1">
      <c r="B100" s="589"/>
      <c r="C100" s="604"/>
      <c r="D100" s="605"/>
      <c r="E100" s="590" t="s">
        <v>874</v>
      </c>
      <c r="G100" s="589"/>
      <c r="H100" s="589"/>
      <c r="I100" s="589"/>
      <c r="O100" s="460"/>
    </row>
    <row r="101" spans="2:15" s="590" customFormat="1" ht="18.75" customHeight="1">
      <c r="B101" s="589"/>
      <c r="C101" s="604"/>
      <c r="D101" s="605"/>
      <c r="E101" s="590" t="s">
        <v>875</v>
      </c>
      <c r="G101" s="589"/>
      <c r="H101" s="589"/>
      <c r="I101" s="589"/>
      <c r="O101" s="460"/>
    </row>
    <row r="102" spans="2:15" s="590" customFormat="1" ht="18.75" customHeight="1">
      <c r="B102" s="589"/>
      <c r="C102" s="604"/>
      <c r="D102" s="605"/>
      <c r="E102" s="590" t="s">
        <v>876</v>
      </c>
      <c r="G102" s="589"/>
      <c r="H102" s="589"/>
      <c r="I102" s="589"/>
      <c r="O102" s="460"/>
    </row>
    <row r="103" spans="2:15" s="590" customFormat="1" ht="18.75" customHeight="1">
      <c r="B103" s="589"/>
      <c r="C103" s="604"/>
      <c r="E103" s="590" t="s">
        <v>871</v>
      </c>
      <c r="G103" s="589"/>
      <c r="H103" s="589"/>
      <c r="I103" s="589"/>
      <c r="O103" s="460"/>
    </row>
    <row r="104" spans="2:15" s="590" customFormat="1" ht="18.75" customHeight="1">
      <c r="B104" s="589"/>
      <c r="C104" s="604"/>
      <c r="D104" s="605"/>
      <c r="E104" s="590" t="s">
        <v>872</v>
      </c>
      <c r="G104" s="589"/>
      <c r="H104" s="589"/>
      <c r="I104" s="589"/>
      <c r="O104" s="460"/>
    </row>
    <row r="105" spans="2:15" s="590" customFormat="1" ht="18.75" customHeight="1">
      <c r="B105" s="589"/>
      <c r="C105" s="604"/>
      <c r="D105" s="605"/>
      <c r="E105" s="590" t="s">
        <v>877</v>
      </c>
      <c r="G105" s="589"/>
      <c r="H105" s="589"/>
      <c r="I105" s="589"/>
      <c r="O105" s="460"/>
    </row>
    <row r="106" spans="2:15" s="590" customFormat="1" ht="18.75" customHeight="1">
      <c r="B106" s="589"/>
      <c r="C106" s="604"/>
      <c r="D106" s="605"/>
      <c r="E106" s="590" t="s">
        <v>878</v>
      </c>
      <c r="G106" s="589"/>
      <c r="H106" s="589"/>
      <c r="I106" s="589"/>
      <c r="O106" s="460"/>
    </row>
    <row r="107" spans="2:15" ht="4.5" customHeight="1">
      <c r="C107" s="585"/>
      <c r="D107" s="459"/>
      <c r="E107" s="459"/>
      <c r="F107" s="460"/>
      <c r="G107" s="458"/>
      <c r="H107" s="458"/>
      <c r="I107" s="458"/>
    </row>
    <row r="108" spans="2:15" s="590" customFormat="1" ht="72.75" customHeight="1">
      <c r="B108" s="589"/>
      <c r="C108" s="604" t="s">
        <v>33</v>
      </c>
      <c r="D108" s="662" t="s">
        <v>174</v>
      </c>
      <c r="E108" s="1139" t="s">
        <v>879</v>
      </c>
      <c r="F108" s="1139"/>
      <c r="G108" s="1139"/>
      <c r="H108" s="1139"/>
      <c r="I108" s="1139"/>
      <c r="J108" s="1139"/>
      <c r="K108" s="1139"/>
      <c r="L108" s="1139"/>
      <c r="M108" s="1139"/>
      <c r="N108" s="1139"/>
      <c r="O108" s="1139"/>
    </row>
    <row r="109" spans="2:15" ht="4.5" customHeight="1">
      <c r="C109" s="585"/>
      <c r="D109" s="459"/>
      <c r="E109" s="459"/>
      <c r="F109" s="460"/>
      <c r="G109" s="458"/>
      <c r="H109" s="458"/>
      <c r="I109" s="458"/>
    </row>
    <row r="110" spans="2:15" s="590" customFormat="1" ht="33" customHeight="1">
      <c r="B110" s="589"/>
      <c r="C110" s="604" t="s">
        <v>34</v>
      </c>
      <c r="D110" s="662" t="s">
        <v>291</v>
      </c>
      <c r="E110" s="1139" t="s">
        <v>880</v>
      </c>
      <c r="F110" s="1139"/>
      <c r="G110" s="1139"/>
      <c r="H110" s="1139"/>
      <c r="I110" s="1139"/>
      <c r="J110" s="1139"/>
      <c r="K110" s="1139"/>
      <c r="L110" s="1139"/>
      <c r="M110" s="1139"/>
      <c r="N110" s="1139"/>
      <c r="O110" s="1139"/>
    </row>
    <row r="111" spans="2:15" ht="18.75" customHeight="1">
      <c r="C111" s="585"/>
      <c r="D111" s="459"/>
      <c r="E111" s="459"/>
      <c r="F111" s="460"/>
      <c r="G111" s="458"/>
      <c r="H111" s="458"/>
      <c r="I111" s="458"/>
    </row>
    <row r="112" spans="2:15" s="590" customFormat="1" ht="33" customHeight="1">
      <c r="B112" s="589"/>
      <c r="C112" s="604" t="s">
        <v>34</v>
      </c>
      <c r="D112" s="662" t="s">
        <v>791</v>
      </c>
      <c r="E112" s="1139" t="s">
        <v>887</v>
      </c>
      <c r="F112" s="1139"/>
      <c r="G112" s="1139"/>
      <c r="H112" s="1139"/>
      <c r="I112" s="1139"/>
      <c r="J112" s="1139"/>
      <c r="K112" s="1139"/>
      <c r="L112" s="1139"/>
      <c r="M112" s="1139"/>
      <c r="N112" s="1139"/>
      <c r="O112" s="1139"/>
    </row>
    <row r="113" spans="2:18" ht="9" customHeight="1">
      <c r="D113" s="302"/>
      <c r="F113" s="458"/>
      <c r="G113" s="458"/>
      <c r="H113" s="458"/>
      <c r="I113" s="458"/>
    </row>
    <row r="114" spans="2:18" s="590" customFormat="1" ht="18.75" customHeight="1" thickBot="1">
      <c r="B114" s="589"/>
      <c r="C114" s="604" t="s">
        <v>33</v>
      </c>
      <c r="D114" s="605" t="s">
        <v>174</v>
      </c>
      <c r="E114" s="589"/>
      <c r="F114" s="589"/>
      <c r="G114" s="589"/>
      <c r="H114" s="589"/>
      <c r="I114" s="589"/>
    </row>
    <row r="115" spans="2:18" s="590" customFormat="1" ht="18.75" customHeight="1">
      <c r="B115" s="589"/>
      <c r="D115" s="720"/>
      <c r="E115" s="1133" t="s">
        <v>405</v>
      </c>
      <c r="F115" s="1134"/>
      <c r="G115" s="1134"/>
      <c r="H115" s="1134"/>
      <c r="I115" s="1134"/>
      <c r="J115" s="1135"/>
      <c r="K115" s="1136" t="s">
        <v>166</v>
      </c>
      <c r="L115" s="1137"/>
      <c r="M115" s="1137"/>
      <c r="N115" s="1137"/>
      <c r="O115" s="1138"/>
    </row>
    <row r="116" spans="2:18" s="590" customFormat="1" ht="18.75" customHeight="1" thickBot="1">
      <c r="B116" s="589"/>
      <c r="D116" s="721"/>
      <c r="E116" s="722" t="s">
        <v>150</v>
      </c>
      <c r="F116" s="723" t="s">
        <v>222</v>
      </c>
      <c r="G116" s="723" t="s">
        <v>386</v>
      </c>
      <c r="H116" s="723" t="s">
        <v>732</v>
      </c>
      <c r="I116" s="724" t="s">
        <v>733</v>
      </c>
      <c r="J116" s="725" t="s">
        <v>132</v>
      </c>
      <c r="K116" s="726" t="s">
        <v>406</v>
      </c>
      <c r="L116" s="723" t="s">
        <v>407</v>
      </c>
      <c r="M116" s="723" t="s">
        <v>100</v>
      </c>
      <c r="N116" s="727" t="s">
        <v>101</v>
      </c>
      <c r="O116" s="728" t="s">
        <v>132</v>
      </c>
    </row>
    <row r="117" spans="2:18" s="590" customFormat="1" ht="18.75" hidden="1" customHeight="1">
      <c r="B117" s="589"/>
      <c r="D117" s="729" t="s">
        <v>754</v>
      </c>
      <c r="E117" s="730">
        <v>14383</v>
      </c>
      <c r="F117" s="731">
        <v>59476</v>
      </c>
      <c r="G117" s="731">
        <v>1165646</v>
      </c>
      <c r="H117" s="732">
        <v>43033</v>
      </c>
      <c r="I117" s="733"/>
      <c r="J117" s="734">
        <f t="shared" ref="J117:J128" si="12">SUM(E117:I117)</f>
        <v>1282538</v>
      </c>
      <c r="K117" s="735">
        <v>8262</v>
      </c>
      <c r="L117" s="731">
        <v>1825</v>
      </c>
      <c r="M117" s="731">
        <v>97084</v>
      </c>
      <c r="N117" s="732">
        <v>7367</v>
      </c>
      <c r="O117" s="736">
        <f t="shared" ref="O117:O131" si="13">SUM(K117:N117)</f>
        <v>114538</v>
      </c>
      <c r="P117" s="737">
        <f>J117+O117</f>
        <v>1397076</v>
      </c>
      <c r="Q117" s="737">
        <f>J117+O117</f>
        <v>1397076</v>
      </c>
      <c r="R117" s="737">
        <f t="shared" ref="R117:R133" si="14">Q117-F78</f>
        <v>0</v>
      </c>
    </row>
    <row r="118" spans="2:18" s="590" customFormat="1" ht="18.75" hidden="1" customHeight="1">
      <c r="B118" s="589"/>
      <c r="D118" s="591" t="s">
        <v>755</v>
      </c>
      <c r="E118" s="738">
        <v>59250</v>
      </c>
      <c r="F118" s="739">
        <v>49589</v>
      </c>
      <c r="G118" s="739">
        <v>1198124</v>
      </c>
      <c r="H118" s="740">
        <v>51275</v>
      </c>
      <c r="I118" s="741"/>
      <c r="J118" s="742">
        <f t="shared" si="12"/>
        <v>1358238</v>
      </c>
      <c r="K118" s="743">
        <v>3975</v>
      </c>
      <c r="L118" s="739">
        <v>1675</v>
      </c>
      <c r="M118" s="739">
        <v>91258</v>
      </c>
      <c r="N118" s="740">
        <v>6258</v>
      </c>
      <c r="O118" s="708">
        <f t="shared" si="13"/>
        <v>103166</v>
      </c>
      <c r="P118" s="737">
        <f t="shared" ref="P118:P129" si="15">J118+O118</f>
        <v>1461404</v>
      </c>
      <c r="Q118" s="737">
        <f t="shared" ref="Q118:Q129" si="16">J118+O118</f>
        <v>1461404</v>
      </c>
      <c r="R118" s="737">
        <f t="shared" si="14"/>
        <v>0</v>
      </c>
    </row>
    <row r="119" spans="2:18" s="590" customFormat="1" ht="18.75" hidden="1" customHeight="1">
      <c r="B119" s="589"/>
      <c r="D119" s="591" t="s">
        <v>756</v>
      </c>
      <c r="E119" s="738">
        <v>28658</v>
      </c>
      <c r="F119" s="739">
        <v>37271</v>
      </c>
      <c r="G119" s="739">
        <v>1003187</v>
      </c>
      <c r="H119" s="740">
        <v>52987</v>
      </c>
      <c r="I119" s="741"/>
      <c r="J119" s="742">
        <f t="shared" si="12"/>
        <v>1122103</v>
      </c>
      <c r="K119" s="743">
        <v>3975</v>
      </c>
      <c r="L119" s="739">
        <v>1524</v>
      </c>
      <c r="M119" s="739">
        <v>88155</v>
      </c>
      <c r="N119" s="740">
        <v>4582</v>
      </c>
      <c r="O119" s="708">
        <f t="shared" si="13"/>
        <v>98236</v>
      </c>
      <c r="P119" s="737">
        <f t="shared" si="15"/>
        <v>1220339</v>
      </c>
      <c r="Q119" s="737">
        <f t="shared" si="16"/>
        <v>1220339</v>
      </c>
      <c r="R119" s="737">
        <f t="shared" si="14"/>
        <v>0</v>
      </c>
    </row>
    <row r="120" spans="2:18" s="590" customFormat="1" ht="18.75" customHeight="1">
      <c r="B120" s="589"/>
      <c r="D120" s="591" t="s">
        <v>824</v>
      </c>
      <c r="E120" s="738">
        <v>6361</v>
      </c>
      <c r="F120" s="739">
        <v>28956</v>
      </c>
      <c r="G120" s="739">
        <v>859405</v>
      </c>
      <c r="H120" s="740">
        <v>51353</v>
      </c>
      <c r="I120" s="741"/>
      <c r="J120" s="742">
        <f t="shared" si="12"/>
        <v>946075</v>
      </c>
      <c r="K120" s="743">
        <v>3975</v>
      </c>
      <c r="L120" s="739">
        <v>1374</v>
      </c>
      <c r="M120" s="739">
        <v>87136</v>
      </c>
      <c r="N120" s="740">
        <v>868</v>
      </c>
      <c r="O120" s="708">
        <f t="shared" si="13"/>
        <v>93353</v>
      </c>
      <c r="P120" s="737">
        <f t="shared" si="15"/>
        <v>1039428</v>
      </c>
      <c r="Q120" s="737">
        <f t="shared" si="16"/>
        <v>1039428</v>
      </c>
      <c r="R120" s="737">
        <f t="shared" si="14"/>
        <v>0</v>
      </c>
    </row>
    <row r="121" spans="2:18" s="590" customFormat="1" ht="18.75" customHeight="1">
      <c r="B121" s="589"/>
      <c r="D121" s="591" t="s">
        <v>757</v>
      </c>
      <c r="E121" s="738">
        <v>5106</v>
      </c>
      <c r="F121" s="739">
        <v>22726</v>
      </c>
      <c r="G121" s="739">
        <v>764302</v>
      </c>
      <c r="H121" s="740">
        <v>55984</v>
      </c>
      <c r="I121" s="741"/>
      <c r="J121" s="742">
        <f t="shared" si="12"/>
        <v>848118</v>
      </c>
      <c r="K121" s="743">
        <v>3975</v>
      </c>
      <c r="L121" s="739">
        <v>1224</v>
      </c>
      <c r="M121" s="739">
        <v>79808</v>
      </c>
      <c r="N121" s="740">
        <v>1001</v>
      </c>
      <c r="O121" s="708">
        <f t="shared" si="13"/>
        <v>86008</v>
      </c>
      <c r="P121" s="737">
        <f t="shared" si="15"/>
        <v>934126</v>
      </c>
      <c r="Q121" s="737">
        <f t="shared" si="16"/>
        <v>934126</v>
      </c>
      <c r="R121" s="737">
        <f t="shared" si="14"/>
        <v>0</v>
      </c>
    </row>
    <row r="122" spans="2:18" s="590" customFormat="1" ht="18.75" customHeight="1">
      <c r="B122" s="589"/>
      <c r="D122" s="591" t="s">
        <v>758</v>
      </c>
      <c r="E122" s="744">
        <v>1885</v>
      </c>
      <c r="F122" s="745">
        <v>42062</v>
      </c>
      <c r="G122" s="745">
        <v>841023</v>
      </c>
      <c r="H122" s="746">
        <v>52154</v>
      </c>
      <c r="I122" s="747"/>
      <c r="J122" s="742">
        <f t="shared" si="12"/>
        <v>937124</v>
      </c>
      <c r="K122" s="748">
        <v>3975</v>
      </c>
      <c r="L122" s="745">
        <v>1077</v>
      </c>
      <c r="M122" s="745">
        <v>73592</v>
      </c>
      <c r="N122" s="746">
        <v>972</v>
      </c>
      <c r="O122" s="708">
        <f t="shared" si="13"/>
        <v>79616</v>
      </c>
      <c r="P122" s="737">
        <f t="shared" si="15"/>
        <v>1016740</v>
      </c>
      <c r="Q122" s="737">
        <f t="shared" si="16"/>
        <v>1016740</v>
      </c>
      <c r="R122" s="737">
        <f t="shared" si="14"/>
        <v>0</v>
      </c>
    </row>
    <row r="123" spans="2:18" s="590" customFormat="1" ht="18.75" customHeight="1">
      <c r="B123" s="589"/>
      <c r="D123" s="591" t="s">
        <v>759</v>
      </c>
      <c r="E123" s="738">
        <v>2635</v>
      </c>
      <c r="F123" s="739">
        <v>64134</v>
      </c>
      <c r="G123" s="739">
        <v>872569</v>
      </c>
      <c r="H123" s="740">
        <v>53675</v>
      </c>
      <c r="I123" s="741"/>
      <c r="J123" s="742">
        <f t="shared" si="12"/>
        <v>993013</v>
      </c>
      <c r="K123" s="743">
        <v>0</v>
      </c>
      <c r="L123" s="739">
        <v>932</v>
      </c>
      <c r="M123" s="739">
        <v>68357</v>
      </c>
      <c r="N123" s="740">
        <v>970</v>
      </c>
      <c r="O123" s="708">
        <f t="shared" si="13"/>
        <v>70259</v>
      </c>
      <c r="P123" s="737">
        <f t="shared" si="15"/>
        <v>1063272</v>
      </c>
      <c r="Q123" s="737">
        <f t="shared" si="16"/>
        <v>1063272</v>
      </c>
      <c r="R123" s="737">
        <f t="shared" si="14"/>
        <v>0</v>
      </c>
    </row>
    <row r="124" spans="2:18" s="590" customFormat="1" ht="18.75" customHeight="1">
      <c r="B124" s="589"/>
      <c r="D124" s="591" t="s">
        <v>760</v>
      </c>
      <c r="E124" s="738">
        <v>1576</v>
      </c>
      <c r="F124" s="739">
        <v>307628</v>
      </c>
      <c r="G124" s="739">
        <v>964676</v>
      </c>
      <c r="H124" s="740">
        <v>54000</v>
      </c>
      <c r="I124" s="741"/>
      <c r="J124" s="742">
        <f t="shared" si="12"/>
        <v>1327880</v>
      </c>
      <c r="K124" s="743">
        <v>0</v>
      </c>
      <c r="L124" s="739">
        <v>788</v>
      </c>
      <c r="M124" s="739">
        <v>63755</v>
      </c>
      <c r="N124" s="740">
        <v>915</v>
      </c>
      <c r="O124" s="708">
        <f t="shared" si="13"/>
        <v>65458</v>
      </c>
      <c r="P124" s="737">
        <f t="shared" si="15"/>
        <v>1393338</v>
      </c>
      <c r="Q124" s="737">
        <f t="shared" si="16"/>
        <v>1393338</v>
      </c>
      <c r="R124" s="737">
        <f t="shared" si="14"/>
        <v>0</v>
      </c>
    </row>
    <row r="125" spans="2:18" s="590" customFormat="1" ht="18.75" customHeight="1">
      <c r="B125" s="589"/>
      <c r="D125" s="591" t="s">
        <v>761</v>
      </c>
      <c r="E125" s="744">
        <v>449</v>
      </c>
      <c r="F125" s="745">
        <v>516533</v>
      </c>
      <c r="G125" s="745">
        <v>792100</v>
      </c>
      <c r="H125" s="746">
        <v>71342</v>
      </c>
      <c r="I125" s="747"/>
      <c r="J125" s="742">
        <f t="shared" si="12"/>
        <v>1380424</v>
      </c>
      <c r="K125" s="748">
        <v>0</v>
      </c>
      <c r="L125" s="745">
        <v>646</v>
      </c>
      <c r="M125" s="745">
        <v>60010</v>
      </c>
      <c r="N125" s="746">
        <v>829</v>
      </c>
      <c r="O125" s="708">
        <f t="shared" si="13"/>
        <v>61485</v>
      </c>
      <c r="P125" s="737">
        <f t="shared" si="15"/>
        <v>1441909</v>
      </c>
      <c r="Q125" s="737">
        <f t="shared" si="16"/>
        <v>1441909</v>
      </c>
      <c r="R125" s="737">
        <f t="shared" si="14"/>
        <v>0</v>
      </c>
    </row>
    <row r="126" spans="2:18" s="590" customFormat="1" ht="18.75" customHeight="1">
      <c r="B126" s="589"/>
      <c r="D126" s="591" t="s">
        <v>762</v>
      </c>
      <c r="E126" s="744">
        <v>578</v>
      </c>
      <c r="F126" s="745">
        <v>573571</v>
      </c>
      <c r="G126" s="745">
        <v>822683</v>
      </c>
      <c r="H126" s="746">
        <v>67039</v>
      </c>
      <c r="I126" s="741"/>
      <c r="J126" s="749">
        <f t="shared" si="12"/>
        <v>1463871</v>
      </c>
      <c r="K126" s="748">
        <v>0</v>
      </c>
      <c r="L126" s="745">
        <v>499</v>
      </c>
      <c r="M126" s="745">
        <v>57767</v>
      </c>
      <c r="N126" s="746">
        <v>711</v>
      </c>
      <c r="O126" s="708">
        <f t="shared" si="13"/>
        <v>58977</v>
      </c>
      <c r="P126" s="737">
        <f t="shared" si="15"/>
        <v>1522848</v>
      </c>
      <c r="Q126" s="737">
        <f t="shared" si="16"/>
        <v>1522848</v>
      </c>
      <c r="R126" s="737">
        <f t="shared" si="14"/>
        <v>0</v>
      </c>
    </row>
    <row r="127" spans="2:18" s="590" customFormat="1" ht="18.75" customHeight="1">
      <c r="B127" s="589"/>
      <c r="D127" s="591" t="s">
        <v>763</v>
      </c>
      <c r="E127" s="744">
        <v>318</v>
      </c>
      <c r="F127" s="745">
        <v>679611</v>
      </c>
      <c r="G127" s="745">
        <v>819815</v>
      </c>
      <c r="H127" s="746">
        <v>31965</v>
      </c>
      <c r="I127" s="746">
        <v>0</v>
      </c>
      <c r="J127" s="749">
        <f t="shared" si="12"/>
        <v>1531709</v>
      </c>
      <c r="K127" s="748">
        <v>0</v>
      </c>
      <c r="L127" s="745">
        <v>492</v>
      </c>
      <c r="M127" s="745">
        <v>57033</v>
      </c>
      <c r="N127" s="746">
        <v>653</v>
      </c>
      <c r="O127" s="708">
        <f t="shared" si="13"/>
        <v>58178</v>
      </c>
      <c r="P127" s="737">
        <f t="shared" si="15"/>
        <v>1589887</v>
      </c>
      <c r="Q127" s="737">
        <f t="shared" si="16"/>
        <v>1589887</v>
      </c>
      <c r="R127" s="737">
        <f t="shared" si="14"/>
        <v>0</v>
      </c>
    </row>
    <row r="128" spans="2:18" s="590" customFormat="1" ht="18.75" customHeight="1">
      <c r="B128" s="589"/>
      <c r="D128" s="602" t="s">
        <v>752</v>
      </c>
      <c r="E128" s="744">
        <v>299</v>
      </c>
      <c r="F128" s="745">
        <v>515204</v>
      </c>
      <c r="G128" s="745">
        <v>773740</v>
      </c>
      <c r="H128" s="746">
        <v>12970</v>
      </c>
      <c r="I128" s="750">
        <v>0</v>
      </c>
      <c r="J128" s="751">
        <f t="shared" si="12"/>
        <v>1302213</v>
      </c>
      <c r="K128" s="748">
        <v>0</v>
      </c>
      <c r="L128" s="745">
        <v>287</v>
      </c>
      <c r="M128" s="745">
        <v>55500</v>
      </c>
      <c r="N128" s="750">
        <v>472</v>
      </c>
      <c r="O128" s="752">
        <f t="shared" si="13"/>
        <v>56259</v>
      </c>
      <c r="P128" s="737">
        <f t="shared" si="15"/>
        <v>1358472</v>
      </c>
      <c r="Q128" s="737">
        <f t="shared" si="16"/>
        <v>1358472</v>
      </c>
      <c r="R128" s="737">
        <f t="shared" si="14"/>
        <v>0</v>
      </c>
    </row>
    <row r="129" spans="2:18" s="590" customFormat="1" ht="18.75" customHeight="1">
      <c r="B129" s="589"/>
      <c r="D129" s="602" t="s">
        <v>771</v>
      </c>
      <c r="E129" s="744">
        <v>380</v>
      </c>
      <c r="F129" s="745">
        <v>310918</v>
      </c>
      <c r="G129" s="745">
        <v>789590</v>
      </c>
      <c r="H129" s="746">
        <v>7179</v>
      </c>
      <c r="I129" s="753">
        <v>0</v>
      </c>
      <c r="J129" s="751">
        <f t="shared" ref="J129" si="17">SUM(E129:I129)</f>
        <v>1108067</v>
      </c>
      <c r="K129" s="748">
        <v>0</v>
      </c>
      <c r="L129" s="745">
        <v>283</v>
      </c>
      <c r="M129" s="745">
        <v>54767</v>
      </c>
      <c r="N129" s="753">
        <v>363</v>
      </c>
      <c r="O129" s="752">
        <f t="shared" si="13"/>
        <v>55413</v>
      </c>
      <c r="P129" s="737">
        <f t="shared" si="15"/>
        <v>1163480</v>
      </c>
      <c r="Q129" s="737">
        <f t="shared" si="16"/>
        <v>1163480</v>
      </c>
      <c r="R129" s="737">
        <f t="shared" si="14"/>
        <v>0</v>
      </c>
    </row>
    <row r="130" spans="2:18" s="590" customFormat="1" ht="18.75" customHeight="1">
      <c r="B130" s="589"/>
      <c r="D130" s="602" t="s">
        <v>778</v>
      </c>
      <c r="E130" s="744">
        <v>347</v>
      </c>
      <c r="F130" s="745">
        <v>279329</v>
      </c>
      <c r="G130" s="745">
        <v>817970</v>
      </c>
      <c r="H130" s="746">
        <v>10717</v>
      </c>
      <c r="I130" s="753">
        <v>0</v>
      </c>
      <c r="J130" s="751">
        <f>SUM(E130:I130)</f>
        <v>1108363</v>
      </c>
      <c r="K130" s="748">
        <v>0</v>
      </c>
      <c r="L130" s="745">
        <v>279</v>
      </c>
      <c r="M130" s="745">
        <v>54033</v>
      </c>
      <c r="N130" s="753">
        <v>348</v>
      </c>
      <c r="O130" s="752">
        <f t="shared" si="13"/>
        <v>54660</v>
      </c>
      <c r="P130" s="737">
        <f>J130+O130</f>
        <v>1163023</v>
      </c>
      <c r="Q130" s="737">
        <f>J130+O130</f>
        <v>1163023</v>
      </c>
      <c r="R130" s="737">
        <f t="shared" si="14"/>
        <v>0</v>
      </c>
    </row>
    <row r="131" spans="2:18" s="590" customFormat="1" ht="18.75" customHeight="1">
      <c r="B131" s="589"/>
      <c r="D131" s="602" t="s">
        <v>790</v>
      </c>
      <c r="E131" s="744">
        <v>389</v>
      </c>
      <c r="F131" s="745">
        <v>212978</v>
      </c>
      <c r="G131" s="745">
        <v>789925</v>
      </c>
      <c r="H131" s="746">
        <v>16965</v>
      </c>
      <c r="I131" s="753">
        <v>0</v>
      </c>
      <c r="J131" s="751">
        <f>SUM(E131:I131)</f>
        <v>1020257</v>
      </c>
      <c r="K131" s="748">
        <v>0</v>
      </c>
      <c r="L131" s="745">
        <v>276</v>
      </c>
      <c r="M131" s="745">
        <v>53300</v>
      </c>
      <c r="N131" s="753">
        <v>352</v>
      </c>
      <c r="O131" s="752">
        <f t="shared" si="13"/>
        <v>53928</v>
      </c>
      <c r="P131" s="737">
        <f>J131+O131</f>
        <v>1074185</v>
      </c>
      <c r="Q131" s="737">
        <f>J131+O131</f>
        <v>1074185</v>
      </c>
      <c r="R131" s="737">
        <f t="shared" si="14"/>
        <v>0</v>
      </c>
    </row>
    <row r="132" spans="2:18" s="590" customFormat="1" ht="18.75" customHeight="1">
      <c r="B132" s="589"/>
      <c r="D132" s="602" t="s">
        <v>797</v>
      </c>
      <c r="E132" s="744">
        <v>349</v>
      </c>
      <c r="F132" s="745">
        <v>303431</v>
      </c>
      <c r="G132" s="745">
        <v>781276</v>
      </c>
      <c r="H132" s="746">
        <v>13578</v>
      </c>
      <c r="I132" s="753">
        <v>0</v>
      </c>
      <c r="J132" s="751">
        <f>SUM(E132:I132)</f>
        <v>1098634</v>
      </c>
      <c r="K132" s="748">
        <v>0</v>
      </c>
      <c r="L132" s="745">
        <v>0</v>
      </c>
      <c r="M132" s="745">
        <v>26375</v>
      </c>
      <c r="N132" s="753">
        <v>429</v>
      </c>
      <c r="O132" s="752">
        <f t="shared" ref="O132" si="18">SUM(K132:N132)</f>
        <v>26804</v>
      </c>
      <c r="P132" s="737">
        <f>J132+O132</f>
        <v>1125438</v>
      </c>
      <c r="Q132" s="737">
        <f>J132+O132</f>
        <v>1125438</v>
      </c>
      <c r="R132" s="737">
        <f t="shared" si="14"/>
        <v>0</v>
      </c>
    </row>
    <row r="133" spans="2:18" s="590" customFormat="1" ht="18.75" customHeight="1">
      <c r="B133" s="589"/>
      <c r="D133" s="602" t="s">
        <v>840</v>
      </c>
      <c r="E133" s="744">
        <v>247</v>
      </c>
      <c r="F133" s="745">
        <v>371879</v>
      </c>
      <c r="G133" s="745">
        <v>814324</v>
      </c>
      <c r="H133" s="746">
        <v>66778</v>
      </c>
      <c r="I133" s="753">
        <v>0</v>
      </c>
      <c r="J133" s="751">
        <f>SUM(E133:I133)</f>
        <v>1253228</v>
      </c>
      <c r="K133" s="748">
        <v>0</v>
      </c>
      <c r="L133" s="745">
        <v>0</v>
      </c>
      <c r="M133" s="745">
        <v>26334</v>
      </c>
      <c r="N133" s="750">
        <v>581</v>
      </c>
      <c r="O133" s="752">
        <f t="shared" ref="O133" si="19">SUM(K133:N133)</f>
        <v>26915</v>
      </c>
      <c r="P133" s="737">
        <f>J133+O133</f>
        <v>1280143</v>
      </c>
      <c r="Q133" s="737">
        <f>J133+O133</f>
        <v>1280143</v>
      </c>
      <c r="R133" s="737">
        <f t="shared" si="14"/>
        <v>0</v>
      </c>
    </row>
    <row r="134" spans="2:18" s="590" customFormat="1" ht="18" customHeight="1" thickBot="1">
      <c r="B134" s="589"/>
      <c r="D134" s="616" t="s">
        <v>350</v>
      </c>
      <c r="E134" s="754">
        <f t="shared" ref="E134:P134" si="20">E133-E132</f>
        <v>-102</v>
      </c>
      <c r="F134" s="755">
        <f t="shared" si="20"/>
        <v>68448</v>
      </c>
      <c r="G134" s="755">
        <f t="shared" si="20"/>
        <v>33048</v>
      </c>
      <c r="H134" s="755">
        <f t="shared" si="20"/>
        <v>53200</v>
      </c>
      <c r="I134" s="756">
        <f t="shared" si="20"/>
        <v>0</v>
      </c>
      <c r="J134" s="757">
        <f t="shared" si="20"/>
        <v>154594</v>
      </c>
      <c r="K134" s="754">
        <f t="shared" si="20"/>
        <v>0</v>
      </c>
      <c r="L134" s="755">
        <f t="shared" si="20"/>
        <v>0</v>
      </c>
      <c r="M134" s="755">
        <f t="shared" si="20"/>
        <v>-41</v>
      </c>
      <c r="N134" s="755">
        <f t="shared" si="20"/>
        <v>152</v>
      </c>
      <c r="O134" s="755">
        <f t="shared" si="20"/>
        <v>111</v>
      </c>
      <c r="P134" s="660">
        <f t="shared" si="20"/>
        <v>154705</v>
      </c>
    </row>
    <row r="135" spans="2:18" ht="9.75" customHeight="1">
      <c r="D135" s="459"/>
      <c r="F135" s="458"/>
      <c r="G135" s="458"/>
      <c r="H135" s="458"/>
      <c r="I135" s="458"/>
    </row>
    <row r="136" spans="2:18" s="590" customFormat="1" ht="18.75" customHeight="1">
      <c r="B136" s="589"/>
      <c r="D136" s="605" t="s">
        <v>905</v>
      </c>
      <c r="E136" s="589"/>
      <c r="F136" s="589"/>
      <c r="G136" s="589"/>
      <c r="H136" s="589"/>
      <c r="I136" s="589"/>
    </row>
    <row r="137" spans="2:18" ht="18.75" hidden="1" customHeight="1">
      <c r="D137" s="459" t="s">
        <v>93</v>
      </c>
      <c r="F137" s="458"/>
      <c r="G137" s="458"/>
      <c r="H137" s="458"/>
      <c r="I137" s="458"/>
    </row>
    <row r="138" spans="2:18" s="590" customFormat="1" ht="15.75" customHeight="1" thickBot="1">
      <c r="B138" s="589" t="s">
        <v>91</v>
      </c>
      <c r="C138" s="590" t="s">
        <v>193</v>
      </c>
      <c r="E138" s="589"/>
      <c r="F138" s="605"/>
      <c r="G138" s="605"/>
      <c r="H138" s="605"/>
    </row>
    <row r="139" spans="2:18" s="590" customFormat="1" ht="12.95" customHeight="1">
      <c r="B139" s="589"/>
      <c r="D139" s="1120"/>
      <c r="E139" s="663" t="s">
        <v>32</v>
      </c>
      <c r="F139" s="664" t="s">
        <v>33</v>
      </c>
      <c r="G139" s="664" t="s">
        <v>34</v>
      </c>
      <c r="H139" s="664" t="s">
        <v>56</v>
      </c>
      <c r="I139" s="664" t="s">
        <v>57</v>
      </c>
      <c r="J139" s="665" t="s">
        <v>58</v>
      </c>
      <c r="K139" s="1122" t="s">
        <v>369</v>
      </c>
      <c r="L139" s="1124" t="s">
        <v>368</v>
      </c>
      <c r="M139" s="1126" t="s">
        <v>367</v>
      </c>
    </row>
    <row r="140" spans="2:18" s="634" customFormat="1" ht="38.1" customHeight="1">
      <c r="D140" s="1121"/>
      <c r="E140" s="666" t="s">
        <v>197</v>
      </c>
      <c r="F140" s="667" t="s">
        <v>388</v>
      </c>
      <c r="G140" s="668" t="s">
        <v>291</v>
      </c>
      <c r="H140" s="669" t="s">
        <v>387</v>
      </c>
      <c r="I140" s="667" t="s">
        <v>366</v>
      </c>
      <c r="J140" s="670" t="s">
        <v>41</v>
      </c>
      <c r="K140" s="1123"/>
      <c r="L140" s="1125"/>
      <c r="M140" s="1127"/>
    </row>
    <row r="141" spans="2:18" s="590" customFormat="1" ht="13.5" hidden="1" customHeight="1">
      <c r="B141" s="589"/>
      <c r="D141" s="591" t="s">
        <v>754</v>
      </c>
      <c r="E141" s="592">
        <f>M162</f>
        <v>70310641</v>
      </c>
      <c r="F141" s="593">
        <v>11641707</v>
      </c>
      <c r="G141" s="593">
        <v>5533216</v>
      </c>
      <c r="H141" s="593">
        <f>G271</f>
        <v>35387069</v>
      </c>
      <c r="I141" s="593">
        <f>I297</f>
        <v>28106028</v>
      </c>
      <c r="J141" s="594">
        <f>K318</f>
        <v>2977983</v>
      </c>
      <c r="K141" s="655">
        <f t="shared" ref="K141:K154" si="21">ROUNDDOWN((E141-F141-G141-H141)/(I141-J141)*100,1)</f>
        <v>70.599999999999994</v>
      </c>
      <c r="L141" s="644">
        <f t="shared" ref="L141:L154" si="22">I141-J141</f>
        <v>25128045</v>
      </c>
      <c r="M141" s="612">
        <f t="shared" ref="M141:M154" si="23">E141-F141-G141-H141</f>
        <v>17748649</v>
      </c>
    </row>
    <row r="142" spans="2:18" s="590" customFormat="1" ht="13.5" hidden="1" customHeight="1">
      <c r="B142" s="589"/>
      <c r="D142" s="591" t="s">
        <v>755</v>
      </c>
      <c r="E142" s="592">
        <f>M163</f>
        <v>71366151</v>
      </c>
      <c r="F142" s="593">
        <v>8166981</v>
      </c>
      <c r="G142" s="593">
        <v>7804109</v>
      </c>
      <c r="H142" s="593">
        <f>G272</f>
        <v>35452237</v>
      </c>
      <c r="I142" s="593">
        <f>I298</f>
        <v>27885456</v>
      </c>
      <c r="J142" s="594">
        <f>K319</f>
        <v>3094724</v>
      </c>
      <c r="K142" s="655">
        <f t="shared" si="21"/>
        <v>80.400000000000006</v>
      </c>
      <c r="L142" s="644">
        <f t="shared" si="22"/>
        <v>24790732</v>
      </c>
      <c r="M142" s="612">
        <f t="shared" si="23"/>
        <v>19942824</v>
      </c>
    </row>
    <row r="143" spans="2:18" s="590" customFormat="1" ht="13.5" hidden="1" customHeight="1">
      <c r="B143" s="589"/>
      <c r="D143" s="591" t="s">
        <v>756</v>
      </c>
      <c r="E143" s="592">
        <v>70651759</v>
      </c>
      <c r="F143" s="597">
        <v>8514276</v>
      </c>
      <c r="G143" s="597">
        <v>11713026</v>
      </c>
      <c r="H143" s="593">
        <v>37084191</v>
      </c>
      <c r="I143" s="593">
        <f>I299</f>
        <v>27455995</v>
      </c>
      <c r="J143" s="594">
        <v>3219209</v>
      </c>
      <c r="K143" s="655">
        <f t="shared" si="21"/>
        <v>55</v>
      </c>
      <c r="L143" s="644">
        <f t="shared" si="22"/>
        <v>24236786</v>
      </c>
      <c r="M143" s="612">
        <f t="shared" si="23"/>
        <v>13340266</v>
      </c>
    </row>
    <row r="144" spans="2:18" s="590" customFormat="1" ht="13.5" customHeight="1">
      <c r="B144" s="589"/>
      <c r="D144" s="591" t="s">
        <v>824</v>
      </c>
      <c r="E144" s="592">
        <v>65232791</v>
      </c>
      <c r="F144" s="597">
        <v>8866265</v>
      </c>
      <c r="G144" s="597">
        <v>11346828</v>
      </c>
      <c r="H144" s="593">
        <v>37464243</v>
      </c>
      <c r="I144" s="593">
        <v>27533238</v>
      </c>
      <c r="J144" s="594">
        <v>3299225</v>
      </c>
      <c r="K144" s="655">
        <f t="shared" si="21"/>
        <v>31.1</v>
      </c>
      <c r="L144" s="644">
        <f t="shared" si="22"/>
        <v>24234013</v>
      </c>
      <c r="M144" s="612">
        <f t="shared" si="23"/>
        <v>7555455</v>
      </c>
      <c r="N144" s="590">
        <f>H144/E165</f>
        <v>0.98485845156933982</v>
      </c>
      <c r="Q144" s="590">
        <f t="shared" ref="Q144:Q154" si="24">M144/L144</f>
        <v>0.31177069187839423</v>
      </c>
    </row>
    <row r="145" spans="2:17" s="590" customFormat="1" ht="13.5" customHeight="1">
      <c r="B145" s="589"/>
      <c r="D145" s="591" t="s">
        <v>757</v>
      </c>
      <c r="E145" s="592">
        <v>62337589</v>
      </c>
      <c r="F145" s="597">
        <v>11959521</v>
      </c>
      <c r="G145" s="597">
        <v>8765705</v>
      </c>
      <c r="H145" s="593">
        <v>39335149</v>
      </c>
      <c r="I145" s="593">
        <v>27635521</v>
      </c>
      <c r="J145" s="594">
        <v>3419376</v>
      </c>
      <c r="K145" s="655">
        <f t="shared" si="21"/>
        <v>9.4</v>
      </c>
      <c r="L145" s="644">
        <f t="shared" si="22"/>
        <v>24216145</v>
      </c>
      <c r="M145" s="612">
        <f t="shared" si="23"/>
        <v>2277214</v>
      </c>
      <c r="N145" s="590">
        <f t="shared" ref="N145:N155" si="25">H145/E166</f>
        <v>1.0269546441788602</v>
      </c>
      <c r="Q145" s="590">
        <f t="shared" si="24"/>
        <v>9.4037015387874498E-2</v>
      </c>
    </row>
    <row r="146" spans="2:17" s="590" customFormat="1" ht="13.5" customHeight="1">
      <c r="B146" s="589"/>
      <c r="D146" s="591" t="s">
        <v>758</v>
      </c>
      <c r="E146" s="596">
        <v>62163731</v>
      </c>
      <c r="F146" s="597">
        <v>12785275</v>
      </c>
      <c r="G146" s="597">
        <v>8507606</v>
      </c>
      <c r="H146" s="597">
        <v>40279500</v>
      </c>
      <c r="I146" s="597">
        <v>27912779</v>
      </c>
      <c r="J146" s="598">
        <v>3550680</v>
      </c>
      <c r="K146" s="655">
        <f t="shared" si="21"/>
        <v>2.4</v>
      </c>
      <c r="L146" s="644">
        <f t="shared" si="22"/>
        <v>24362099</v>
      </c>
      <c r="M146" s="612">
        <f t="shared" si="23"/>
        <v>591350</v>
      </c>
      <c r="N146" s="590">
        <f t="shared" si="25"/>
        <v>1.0462298284294251</v>
      </c>
      <c r="Q146" s="590">
        <f t="shared" si="24"/>
        <v>2.4273360025341001E-2</v>
      </c>
    </row>
    <row r="147" spans="2:17" s="590" customFormat="1" ht="13.5" customHeight="1">
      <c r="B147" s="589"/>
      <c r="D147" s="591" t="s">
        <v>759</v>
      </c>
      <c r="E147" s="596">
        <v>64126185</v>
      </c>
      <c r="F147" s="597">
        <v>12742440</v>
      </c>
      <c r="G147" s="597">
        <v>8456090</v>
      </c>
      <c r="H147" s="597">
        <v>41771582</v>
      </c>
      <c r="I147" s="597">
        <v>27772944</v>
      </c>
      <c r="J147" s="598">
        <v>3842217</v>
      </c>
      <c r="K147" s="655">
        <f t="shared" si="21"/>
        <v>4.8</v>
      </c>
      <c r="L147" s="644">
        <f t="shared" si="22"/>
        <v>23930727</v>
      </c>
      <c r="M147" s="612">
        <f t="shared" si="23"/>
        <v>1156073</v>
      </c>
      <c r="N147" s="590">
        <f t="shared" si="25"/>
        <v>1.0540721033210947</v>
      </c>
      <c r="Q147" s="590">
        <f t="shared" si="24"/>
        <v>4.8309146646485085E-2</v>
      </c>
    </row>
    <row r="148" spans="2:17" s="590" customFormat="1" ht="13.5" customHeight="1">
      <c r="B148" s="589"/>
      <c r="D148" s="591" t="s">
        <v>760</v>
      </c>
      <c r="E148" s="596">
        <v>67169271</v>
      </c>
      <c r="F148" s="597">
        <v>11989451</v>
      </c>
      <c r="G148" s="597">
        <v>8027328</v>
      </c>
      <c r="H148" s="597">
        <v>43233125</v>
      </c>
      <c r="I148" s="597">
        <v>28390874</v>
      </c>
      <c r="J148" s="598">
        <v>3612656</v>
      </c>
      <c r="K148" s="655">
        <f t="shared" si="21"/>
        <v>15.8</v>
      </c>
      <c r="L148" s="644">
        <f t="shared" si="22"/>
        <v>24778218</v>
      </c>
      <c r="M148" s="612">
        <f t="shared" si="23"/>
        <v>3919367</v>
      </c>
      <c r="N148" s="590">
        <f t="shared" si="25"/>
        <v>1.0225349175873486</v>
      </c>
      <c r="Q148" s="590">
        <f t="shared" si="24"/>
        <v>0.15817792062367036</v>
      </c>
    </row>
    <row r="149" spans="2:17" s="590" customFormat="1" ht="13.5" customHeight="1">
      <c r="B149" s="589"/>
      <c r="D149" s="591" t="s">
        <v>761</v>
      </c>
      <c r="E149" s="596">
        <v>66742500</v>
      </c>
      <c r="F149" s="596">
        <v>13073113</v>
      </c>
      <c r="G149" s="596">
        <v>8454554</v>
      </c>
      <c r="H149" s="596">
        <v>43435502</v>
      </c>
      <c r="I149" s="596">
        <v>28578322</v>
      </c>
      <c r="J149" s="599">
        <v>3915751</v>
      </c>
      <c r="K149" s="655">
        <f t="shared" si="21"/>
        <v>7.2</v>
      </c>
      <c r="L149" s="644">
        <f t="shared" si="22"/>
        <v>24662571</v>
      </c>
      <c r="M149" s="612">
        <f t="shared" si="23"/>
        <v>1779331</v>
      </c>
      <c r="N149" s="590">
        <f t="shared" si="25"/>
        <v>1.0169910108961127</v>
      </c>
      <c r="Q149" s="590">
        <f t="shared" si="24"/>
        <v>7.2147019870718268E-2</v>
      </c>
    </row>
    <row r="150" spans="2:17" s="590" customFormat="1" ht="13.5" customHeight="1">
      <c r="B150" s="589"/>
      <c r="D150" s="591" t="s">
        <v>762</v>
      </c>
      <c r="E150" s="596">
        <v>65495417</v>
      </c>
      <c r="F150" s="596">
        <v>13048020</v>
      </c>
      <c r="G150" s="596">
        <v>8341441</v>
      </c>
      <c r="H150" s="596">
        <v>42184777</v>
      </c>
      <c r="I150" s="596">
        <v>28706679</v>
      </c>
      <c r="J150" s="599">
        <v>3949042</v>
      </c>
      <c r="K150" s="657">
        <f t="shared" si="21"/>
        <v>7.7</v>
      </c>
      <c r="L150" s="615">
        <f t="shared" si="22"/>
        <v>24757637</v>
      </c>
      <c r="M150" s="639">
        <f t="shared" si="23"/>
        <v>1921179</v>
      </c>
      <c r="N150" s="590">
        <f t="shared" si="25"/>
        <v>1.0140040017133718</v>
      </c>
      <c r="Q150" s="590">
        <f t="shared" si="24"/>
        <v>7.7599449414336275E-2</v>
      </c>
    </row>
    <row r="151" spans="2:17" s="590" customFormat="1" ht="13.5" customHeight="1">
      <c r="B151" s="589"/>
      <c r="D151" s="591" t="s">
        <v>763</v>
      </c>
      <c r="E151" s="596">
        <v>64686811</v>
      </c>
      <c r="F151" s="596">
        <v>14669706</v>
      </c>
      <c r="G151" s="596">
        <v>7730837</v>
      </c>
      <c r="H151" s="596">
        <v>42210923</v>
      </c>
      <c r="I151" s="596">
        <v>28810894</v>
      </c>
      <c r="J151" s="599">
        <v>4064157</v>
      </c>
      <c r="K151" s="657">
        <f t="shared" si="21"/>
        <v>0.3</v>
      </c>
      <c r="L151" s="615">
        <f t="shared" si="22"/>
        <v>24746737</v>
      </c>
      <c r="M151" s="639">
        <f t="shared" si="23"/>
        <v>75345</v>
      </c>
      <c r="N151" s="590">
        <f t="shared" si="25"/>
        <v>1.0019687864469748</v>
      </c>
      <c r="Q151" s="590">
        <f t="shared" si="24"/>
        <v>3.0446438251636974E-3</v>
      </c>
    </row>
    <row r="152" spans="2:17" s="590" customFormat="1" ht="13.5" customHeight="1">
      <c r="B152" s="589"/>
      <c r="D152" s="602" t="s">
        <v>752</v>
      </c>
      <c r="E152" s="596">
        <v>63024539</v>
      </c>
      <c r="F152" s="596">
        <v>15082205</v>
      </c>
      <c r="G152" s="596">
        <v>7085771</v>
      </c>
      <c r="H152" s="596">
        <v>42751181</v>
      </c>
      <c r="I152" s="596">
        <v>28724375</v>
      </c>
      <c r="J152" s="599">
        <v>4111949</v>
      </c>
      <c r="K152" s="657">
        <f t="shared" si="21"/>
        <v>-7.6</v>
      </c>
      <c r="L152" s="615">
        <f t="shared" si="22"/>
        <v>24612426</v>
      </c>
      <c r="M152" s="639">
        <f t="shared" si="23"/>
        <v>-1894618</v>
      </c>
      <c r="N152" s="590">
        <f t="shared" si="25"/>
        <v>0.98371602626336485</v>
      </c>
      <c r="O152" s="520">
        <f>E155-H155</f>
        <v>21320052</v>
      </c>
      <c r="Q152" s="590">
        <f t="shared" si="24"/>
        <v>-7.6978108537533035E-2</v>
      </c>
    </row>
    <row r="153" spans="2:17" s="590" customFormat="1" ht="13.5" customHeight="1">
      <c r="B153" s="589"/>
      <c r="D153" s="602" t="s">
        <v>771</v>
      </c>
      <c r="E153" s="596">
        <v>67454875</v>
      </c>
      <c r="F153" s="596">
        <v>14843380</v>
      </c>
      <c r="G153" s="596">
        <v>7224391</v>
      </c>
      <c r="H153" s="596">
        <v>44440172</v>
      </c>
      <c r="I153" s="596">
        <v>29114831</v>
      </c>
      <c r="J153" s="599">
        <v>3848040</v>
      </c>
      <c r="K153" s="657">
        <f t="shared" si="21"/>
        <v>3.7</v>
      </c>
      <c r="L153" s="615">
        <f t="shared" si="22"/>
        <v>25266791</v>
      </c>
      <c r="M153" s="639">
        <f t="shared" si="23"/>
        <v>946932</v>
      </c>
      <c r="N153" s="590">
        <f t="shared" si="25"/>
        <v>0.92974261041592221</v>
      </c>
      <c r="O153" s="520">
        <f>E156-H156</f>
        <v>21305288</v>
      </c>
      <c r="Q153" s="590">
        <f t="shared" si="24"/>
        <v>3.7477335368785059E-2</v>
      </c>
    </row>
    <row r="154" spans="2:17" s="590" customFormat="1" ht="13.5" customHeight="1">
      <c r="B154" s="589"/>
      <c r="D154" s="602" t="s">
        <v>778</v>
      </c>
      <c r="E154" s="596">
        <v>65053283</v>
      </c>
      <c r="F154" s="596">
        <v>16165337</v>
      </c>
      <c r="G154" s="596">
        <v>7053003</v>
      </c>
      <c r="H154" s="596">
        <v>43945074</v>
      </c>
      <c r="I154" s="596">
        <v>30251923</v>
      </c>
      <c r="J154" s="599">
        <v>3822616</v>
      </c>
      <c r="K154" s="657">
        <f t="shared" si="21"/>
        <v>-7.9</v>
      </c>
      <c r="L154" s="615">
        <f t="shared" si="22"/>
        <v>26429307</v>
      </c>
      <c r="M154" s="639">
        <f t="shared" si="23"/>
        <v>-2110131</v>
      </c>
      <c r="N154" s="590">
        <f t="shared" si="25"/>
        <v>0.91583427380987437</v>
      </c>
      <c r="O154" s="520">
        <f>E157-H157</f>
        <v>24016674</v>
      </c>
      <c r="Q154" s="590">
        <f t="shared" si="24"/>
        <v>-7.9840572437256868E-2</v>
      </c>
    </row>
    <row r="155" spans="2:17" s="590" customFormat="1" ht="13.5" customHeight="1">
      <c r="B155" s="589"/>
      <c r="D155" s="602" t="s">
        <v>790</v>
      </c>
      <c r="E155" s="596">
        <v>65518303</v>
      </c>
      <c r="F155" s="596">
        <v>16550151</v>
      </c>
      <c r="G155" s="596">
        <v>6419911.2400000002</v>
      </c>
      <c r="H155" s="596">
        <v>44198251</v>
      </c>
      <c r="I155" s="596">
        <v>29489961</v>
      </c>
      <c r="J155" s="599">
        <v>3947041</v>
      </c>
      <c r="K155" s="657">
        <f>ROUNDDOWN((E155-F155-G155-H155)/(I155-J155)*100,1)</f>
        <v>-6.4</v>
      </c>
      <c r="L155" s="615">
        <f>I155-J155</f>
        <v>25542920</v>
      </c>
      <c r="M155" s="639">
        <f>E155-F155-G155-H155</f>
        <v>-1650010.2400000021</v>
      </c>
      <c r="N155" s="590">
        <f t="shared" si="25"/>
        <v>0.9078049213518169</v>
      </c>
      <c r="O155" s="590">
        <f>L158/L156</f>
        <v>3.8250045034597613E-2</v>
      </c>
    </row>
    <row r="156" spans="2:17" s="590" customFormat="1" ht="13.5" customHeight="1">
      <c r="B156" s="589"/>
      <c r="D156" s="602" t="s">
        <v>797</v>
      </c>
      <c r="E156" s="596">
        <v>62896142</v>
      </c>
      <c r="F156" s="596">
        <v>16737718</v>
      </c>
      <c r="G156" s="596">
        <v>5864352.2079999996</v>
      </c>
      <c r="H156" s="596">
        <v>41590854</v>
      </c>
      <c r="I156" s="596">
        <v>30453898</v>
      </c>
      <c r="J156" s="599">
        <v>4196308</v>
      </c>
      <c r="K156" s="657">
        <f>ROUNDDOWN((E156-F156-G156-H156)/(I156-J156)*100,1)</f>
        <v>-4.9000000000000004</v>
      </c>
      <c r="L156" s="615">
        <f>I156-J156</f>
        <v>26257590</v>
      </c>
      <c r="M156" s="639">
        <f>E156-F156-G156-H156</f>
        <v>-1296782.2079999968</v>
      </c>
      <c r="N156" s="590">
        <f>H156/E177</f>
        <v>0.90571953736735011</v>
      </c>
      <c r="O156" s="590">
        <f>L158/L157</f>
        <v>3.6840879725965253E-2</v>
      </c>
    </row>
    <row r="157" spans="2:17" s="590" customFormat="1" ht="13.5" customHeight="1">
      <c r="B157" s="589"/>
      <c r="D157" s="602" t="s">
        <v>840</v>
      </c>
      <c r="E157" s="596">
        <v>63100300</v>
      </c>
      <c r="F157" s="596">
        <v>14580520</v>
      </c>
      <c r="G157" s="596">
        <v>5793984.9849999994</v>
      </c>
      <c r="H157" s="596">
        <v>39083626</v>
      </c>
      <c r="I157" s="596">
        <v>31417985</v>
      </c>
      <c r="J157" s="599">
        <v>4156041</v>
      </c>
      <c r="K157" s="657">
        <f>ROUNDDOWN((E157-F157-G157-H157)/(I157-J157)*100,1)</f>
        <v>13.3</v>
      </c>
      <c r="L157" s="615">
        <f>I157-J157</f>
        <v>27261944</v>
      </c>
      <c r="M157" s="639">
        <f>E157-F157-G157-H157</f>
        <v>3642169.0150000006</v>
      </c>
      <c r="N157" s="590">
        <f>H157/E178</f>
        <v>0.85111910690087722</v>
      </c>
      <c r="O157" s="590">
        <f>M158/M156</f>
        <v>-3.808620439524113</v>
      </c>
    </row>
    <row r="158" spans="2:17" s="590" customFormat="1" ht="13.5" customHeight="1" thickBot="1">
      <c r="B158" s="589"/>
      <c r="D158" s="616" t="s">
        <v>350</v>
      </c>
      <c r="E158" s="617">
        <f>E157-E156</f>
        <v>204158</v>
      </c>
      <c r="F158" s="617">
        <f t="shared" ref="F158:J158" si="26">F157-F156</f>
        <v>-2157198</v>
      </c>
      <c r="G158" s="617">
        <f t="shared" si="26"/>
        <v>-70367.223000000231</v>
      </c>
      <c r="H158" s="617">
        <f t="shared" si="26"/>
        <v>-2507228</v>
      </c>
      <c r="I158" s="617">
        <f t="shared" si="26"/>
        <v>964087</v>
      </c>
      <c r="J158" s="617">
        <f t="shared" si="26"/>
        <v>-40267</v>
      </c>
      <c r="K158" s="659">
        <f>K157-K156</f>
        <v>18.200000000000003</v>
      </c>
      <c r="L158" s="617">
        <f>L157-L156</f>
        <v>1004354</v>
      </c>
      <c r="M158" s="660">
        <f>M157-M156</f>
        <v>4938951.2229999974</v>
      </c>
      <c r="N158" s="590">
        <f>H158/E179</f>
        <v>-58307.627906976741</v>
      </c>
      <c r="O158" s="590">
        <f>M158/M157</f>
        <v>1.356046686098118</v>
      </c>
    </row>
    <row r="159" spans="2:17" ht="5.0999999999999996" customHeight="1">
      <c r="E159" s="459"/>
    </row>
    <row r="160" spans="2:17" s="590" customFormat="1" ht="15" customHeight="1" thickBot="1">
      <c r="B160" s="589"/>
      <c r="C160" s="604" t="s">
        <v>32</v>
      </c>
      <c r="D160" s="590" t="s">
        <v>197</v>
      </c>
      <c r="E160" s="589"/>
      <c r="F160" s="605"/>
      <c r="G160" s="605"/>
      <c r="H160" s="605"/>
    </row>
    <row r="161" spans="2:13" s="590" customFormat="1" ht="30" customHeight="1">
      <c r="B161" s="589"/>
      <c r="D161" s="631"/>
      <c r="E161" s="632" t="s">
        <v>370</v>
      </c>
      <c r="F161" s="608" t="s">
        <v>371</v>
      </c>
      <c r="G161" s="608" t="s">
        <v>372</v>
      </c>
      <c r="H161" s="633" t="s">
        <v>373</v>
      </c>
      <c r="I161" s="633" t="s">
        <v>374</v>
      </c>
      <c r="J161" s="633" t="s">
        <v>375</v>
      </c>
      <c r="K161" s="633" t="s">
        <v>376</v>
      </c>
      <c r="L161" s="619" t="s">
        <v>377</v>
      </c>
      <c r="M161" s="620" t="s">
        <v>132</v>
      </c>
    </row>
    <row r="162" spans="2:13" s="590" customFormat="1" ht="13.5" hidden="1" customHeight="1">
      <c r="B162" s="589"/>
      <c r="D162" s="591" t="s">
        <v>754</v>
      </c>
      <c r="E162" s="592">
        <v>38841267</v>
      </c>
      <c r="F162" s="593">
        <v>963584</v>
      </c>
      <c r="G162" s="593">
        <v>20482038</v>
      </c>
      <c r="H162" s="593">
        <v>0</v>
      </c>
      <c r="I162" s="611">
        <v>10023752</v>
      </c>
      <c r="J162" s="611">
        <v>0</v>
      </c>
      <c r="K162" s="611">
        <v>0</v>
      </c>
      <c r="L162" s="671">
        <v>0</v>
      </c>
      <c r="M162" s="672">
        <f t="shared" ref="M162:M176" si="27">SUM(E162:L162)</f>
        <v>70310641</v>
      </c>
    </row>
    <row r="163" spans="2:13" s="590" customFormat="1" ht="13.5" hidden="1" customHeight="1">
      <c r="B163" s="589"/>
      <c r="D163" s="591" t="s">
        <v>755</v>
      </c>
      <c r="E163" s="592">
        <v>37877840</v>
      </c>
      <c r="F163" s="593">
        <v>3837434</v>
      </c>
      <c r="G163" s="593">
        <f>I205</f>
        <v>20098163</v>
      </c>
      <c r="H163" s="593">
        <v>0</v>
      </c>
      <c r="I163" s="611">
        <v>9552714</v>
      </c>
      <c r="J163" s="611">
        <v>0</v>
      </c>
      <c r="K163" s="611">
        <v>0</v>
      </c>
      <c r="L163" s="671">
        <v>0</v>
      </c>
      <c r="M163" s="672">
        <f t="shared" si="27"/>
        <v>71366151</v>
      </c>
    </row>
    <row r="164" spans="2:13" s="590" customFormat="1" ht="13.5" hidden="1" customHeight="1">
      <c r="B164" s="589"/>
      <c r="D164" s="591" t="s">
        <v>756</v>
      </c>
      <c r="E164" s="596">
        <v>38355202</v>
      </c>
      <c r="F164" s="593">
        <v>3799769</v>
      </c>
      <c r="G164" s="593">
        <v>18978836</v>
      </c>
      <c r="H164" s="597">
        <v>0</v>
      </c>
      <c r="I164" s="613">
        <v>9517952</v>
      </c>
      <c r="J164" s="613">
        <v>0</v>
      </c>
      <c r="K164" s="613">
        <v>0</v>
      </c>
      <c r="L164" s="673">
        <v>0</v>
      </c>
      <c r="M164" s="672">
        <f t="shared" si="27"/>
        <v>70651759</v>
      </c>
    </row>
    <row r="165" spans="2:13" s="590" customFormat="1" ht="13.5" customHeight="1">
      <c r="B165" s="589"/>
      <c r="D165" s="591" t="s">
        <v>824</v>
      </c>
      <c r="E165" s="596">
        <v>38040231</v>
      </c>
      <c r="F165" s="593">
        <v>1664690</v>
      </c>
      <c r="G165" s="593">
        <v>16763476</v>
      </c>
      <c r="H165" s="597">
        <v>0</v>
      </c>
      <c r="I165" s="613">
        <v>8764394</v>
      </c>
      <c r="J165" s="613">
        <v>0</v>
      </c>
      <c r="K165" s="613">
        <v>0</v>
      </c>
      <c r="L165" s="673">
        <v>0</v>
      </c>
      <c r="M165" s="672">
        <f t="shared" si="27"/>
        <v>65232791</v>
      </c>
    </row>
    <row r="166" spans="2:13" s="590" customFormat="1" ht="13.5" customHeight="1">
      <c r="B166" s="589"/>
      <c r="D166" s="591" t="s">
        <v>757</v>
      </c>
      <c r="E166" s="596">
        <v>38302713</v>
      </c>
      <c r="F166" s="593">
        <v>587338</v>
      </c>
      <c r="G166" s="593">
        <v>15015382</v>
      </c>
      <c r="H166" s="597">
        <v>0</v>
      </c>
      <c r="I166" s="613">
        <v>8432156</v>
      </c>
      <c r="J166" s="613">
        <v>0</v>
      </c>
      <c r="K166" s="613">
        <v>0</v>
      </c>
      <c r="L166" s="673">
        <v>0</v>
      </c>
      <c r="M166" s="672">
        <f t="shared" si="27"/>
        <v>62337589</v>
      </c>
    </row>
    <row r="167" spans="2:13" s="590" customFormat="1" ht="13.5" customHeight="1">
      <c r="B167" s="589"/>
      <c r="D167" s="591" t="s">
        <v>758</v>
      </c>
      <c r="E167" s="596">
        <v>38499667</v>
      </c>
      <c r="F167" s="597">
        <v>518315</v>
      </c>
      <c r="G167" s="597">
        <v>15443989</v>
      </c>
      <c r="H167" s="597">
        <v>0</v>
      </c>
      <c r="I167" s="613">
        <v>7701760</v>
      </c>
      <c r="J167" s="613">
        <v>0</v>
      </c>
      <c r="K167" s="613">
        <v>0</v>
      </c>
      <c r="L167" s="673">
        <v>0</v>
      </c>
      <c r="M167" s="672">
        <f t="shared" si="27"/>
        <v>62163731</v>
      </c>
    </row>
    <row r="168" spans="2:13" s="590" customFormat="1" ht="13.5" customHeight="1">
      <c r="B168" s="589"/>
      <c r="D168" s="591" t="s">
        <v>759</v>
      </c>
      <c r="E168" s="596">
        <v>39628771</v>
      </c>
      <c r="F168" s="597">
        <v>457048</v>
      </c>
      <c r="G168" s="597">
        <v>17169175</v>
      </c>
      <c r="H168" s="597">
        <v>0</v>
      </c>
      <c r="I168" s="613">
        <v>6871191</v>
      </c>
      <c r="J168" s="613">
        <v>0</v>
      </c>
      <c r="K168" s="613">
        <v>0</v>
      </c>
      <c r="L168" s="673">
        <v>0</v>
      </c>
      <c r="M168" s="672">
        <f t="shared" si="27"/>
        <v>64126185</v>
      </c>
    </row>
    <row r="169" spans="2:13" s="590" customFormat="1" ht="13.5" customHeight="1">
      <c r="B169" s="589"/>
      <c r="D169" s="591" t="s">
        <v>760</v>
      </c>
      <c r="E169" s="596">
        <v>42280341</v>
      </c>
      <c r="F169" s="597">
        <v>399212</v>
      </c>
      <c r="G169" s="597">
        <v>17915865</v>
      </c>
      <c r="H169" s="597">
        <v>0</v>
      </c>
      <c r="I169" s="613">
        <v>6573853</v>
      </c>
      <c r="J169" s="613">
        <v>0</v>
      </c>
      <c r="K169" s="613">
        <v>0</v>
      </c>
      <c r="L169" s="673">
        <v>0</v>
      </c>
      <c r="M169" s="672">
        <f t="shared" si="27"/>
        <v>67169271</v>
      </c>
    </row>
    <row r="170" spans="2:13" s="590" customFormat="1" ht="13.5" customHeight="1">
      <c r="B170" s="589"/>
      <c r="D170" s="591" t="s">
        <v>761</v>
      </c>
      <c r="E170" s="596">
        <v>42709819</v>
      </c>
      <c r="F170" s="596">
        <v>344126</v>
      </c>
      <c r="G170" s="596">
        <v>17480152</v>
      </c>
      <c r="H170" s="596">
        <v>0</v>
      </c>
      <c r="I170" s="615">
        <v>6208403</v>
      </c>
      <c r="J170" s="615">
        <v>0</v>
      </c>
      <c r="K170" s="615">
        <v>0</v>
      </c>
      <c r="L170" s="674">
        <v>0</v>
      </c>
      <c r="M170" s="672">
        <f t="shared" si="27"/>
        <v>66742500</v>
      </c>
    </row>
    <row r="171" spans="2:13" s="590" customFormat="1" ht="13.5" customHeight="1">
      <c r="B171" s="589"/>
      <c r="D171" s="591" t="s">
        <v>762</v>
      </c>
      <c r="E171" s="596">
        <v>41602180</v>
      </c>
      <c r="F171" s="596">
        <v>290471</v>
      </c>
      <c r="G171" s="596">
        <v>17963632</v>
      </c>
      <c r="H171" s="596">
        <v>0</v>
      </c>
      <c r="I171" s="615">
        <v>5639134</v>
      </c>
      <c r="J171" s="615">
        <v>0</v>
      </c>
      <c r="K171" s="615">
        <v>0</v>
      </c>
      <c r="L171" s="674">
        <v>0</v>
      </c>
      <c r="M171" s="672">
        <f t="shared" si="27"/>
        <v>65495417</v>
      </c>
    </row>
    <row r="172" spans="2:13" s="590" customFormat="1" ht="13.5" customHeight="1">
      <c r="B172" s="589"/>
      <c r="D172" s="591" t="s">
        <v>763</v>
      </c>
      <c r="E172" s="596">
        <v>42127982</v>
      </c>
      <c r="F172" s="596">
        <v>236814</v>
      </c>
      <c r="G172" s="596">
        <v>16932406</v>
      </c>
      <c r="H172" s="596">
        <v>0</v>
      </c>
      <c r="I172" s="615">
        <v>5389609</v>
      </c>
      <c r="J172" s="615">
        <v>0</v>
      </c>
      <c r="K172" s="615">
        <v>0</v>
      </c>
      <c r="L172" s="674">
        <v>0</v>
      </c>
      <c r="M172" s="672">
        <f t="shared" si="27"/>
        <v>64686811</v>
      </c>
    </row>
    <row r="173" spans="2:13" s="590" customFormat="1" ht="13.5" customHeight="1">
      <c r="B173" s="589"/>
      <c r="D173" s="602" t="s">
        <v>752</v>
      </c>
      <c r="E173" s="596">
        <v>43458864</v>
      </c>
      <c r="F173" s="596">
        <v>184159</v>
      </c>
      <c r="G173" s="596">
        <v>14100777</v>
      </c>
      <c r="H173" s="596">
        <v>0</v>
      </c>
      <c r="I173" s="615">
        <v>5280739</v>
      </c>
      <c r="J173" s="615">
        <v>0</v>
      </c>
      <c r="K173" s="615">
        <v>0</v>
      </c>
      <c r="L173" s="674">
        <v>0</v>
      </c>
      <c r="M173" s="675">
        <f t="shared" si="27"/>
        <v>63024539</v>
      </c>
    </row>
    <row r="174" spans="2:13" s="590" customFormat="1" ht="13.5" customHeight="1">
      <c r="B174" s="589"/>
      <c r="D174" s="602" t="s">
        <v>771</v>
      </c>
      <c r="E174" s="596">
        <v>47798360</v>
      </c>
      <c r="F174" s="596">
        <v>131503</v>
      </c>
      <c r="G174" s="596">
        <v>14252113</v>
      </c>
      <c r="H174" s="596">
        <v>0</v>
      </c>
      <c r="I174" s="615">
        <v>5272899</v>
      </c>
      <c r="J174" s="615">
        <v>0</v>
      </c>
      <c r="K174" s="615">
        <v>0</v>
      </c>
      <c r="L174" s="674">
        <v>0</v>
      </c>
      <c r="M174" s="675">
        <f t="shared" si="27"/>
        <v>67454875</v>
      </c>
    </row>
    <row r="175" spans="2:13" s="590" customFormat="1" ht="13.5" customHeight="1">
      <c r="B175" s="589"/>
      <c r="D175" s="602" t="s">
        <v>778</v>
      </c>
      <c r="E175" s="596">
        <v>47983653</v>
      </c>
      <c r="F175" s="596">
        <v>78847</v>
      </c>
      <c r="G175" s="596">
        <v>11730442</v>
      </c>
      <c r="H175" s="596">
        <v>0</v>
      </c>
      <c r="I175" s="615">
        <v>5260341</v>
      </c>
      <c r="J175" s="615">
        <v>0</v>
      </c>
      <c r="K175" s="615">
        <v>0</v>
      </c>
      <c r="L175" s="674">
        <v>0</v>
      </c>
      <c r="M175" s="675">
        <f t="shared" si="27"/>
        <v>65053283</v>
      </c>
    </row>
    <row r="176" spans="2:13" s="590" customFormat="1" ht="13.5" customHeight="1">
      <c r="B176" s="589"/>
      <c r="D176" s="602" t="s">
        <v>790</v>
      </c>
      <c r="E176" s="596">
        <v>48686948</v>
      </c>
      <c r="F176" s="596">
        <v>26192</v>
      </c>
      <c r="G176" s="596">
        <v>11507369</v>
      </c>
      <c r="H176" s="596">
        <v>0</v>
      </c>
      <c r="I176" s="615">
        <v>5297794</v>
      </c>
      <c r="J176" s="615">
        <v>0</v>
      </c>
      <c r="K176" s="615">
        <v>0</v>
      </c>
      <c r="L176" s="674">
        <v>0</v>
      </c>
      <c r="M176" s="675">
        <f t="shared" si="27"/>
        <v>65518303</v>
      </c>
    </row>
    <row r="177" spans="2:15" s="590" customFormat="1" ht="13.5" customHeight="1">
      <c r="B177" s="589"/>
      <c r="D177" s="602" t="s">
        <v>797</v>
      </c>
      <c r="E177" s="596">
        <v>45920235</v>
      </c>
      <c r="F177" s="596">
        <v>0</v>
      </c>
      <c r="G177" s="596">
        <v>11409888</v>
      </c>
      <c r="H177" s="596">
        <v>0</v>
      </c>
      <c r="I177" s="615">
        <v>5566019</v>
      </c>
      <c r="J177" s="615">
        <v>0</v>
      </c>
      <c r="K177" s="615">
        <v>0</v>
      </c>
      <c r="L177" s="674">
        <v>0</v>
      </c>
      <c r="M177" s="675">
        <f t="shared" ref="M177:M178" si="28">SUM(E177:L177)</f>
        <v>62896142</v>
      </c>
    </row>
    <row r="178" spans="2:15" s="590" customFormat="1" ht="13.5" customHeight="1">
      <c r="B178" s="589"/>
      <c r="D178" s="602" t="s">
        <v>840</v>
      </c>
      <c r="E178" s="596">
        <v>45920278</v>
      </c>
      <c r="F178" s="596">
        <v>149226</v>
      </c>
      <c r="G178" s="596">
        <v>11107442</v>
      </c>
      <c r="H178" s="596">
        <v>0</v>
      </c>
      <c r="I178" s="615">
        <v>5923354</v>
      </c>
      <c r="J178" s="615">
        <v>0</v>
      </c>
      <c r="K178" s="615">
        <v>0</v>
      </c>
      <c r="L178" s="674">
        <v>0</v>
      </c>
      <c r="M178" s="675">
        <f t="shared" si="28"/>
        <v>63100300</v>
      </c>
    </row>
    <row r="179" spans="2:15" s="590" customFormat="1" ht="13.5" customHeight="1" thickBot="1">
      <c r="B179" s="589"/>
      <c r="D179" s="616" t="s">
        <v>350</v>
      </c>
      <c r="E179" s="617">
        <f>E178-E177</f>
        <v>43</v>
      </c>
      <c r="F179" s="617">
        <f t="shared" ref="F179:M179" si="29">F178-F177</f>
        <v>149226</v>
      </c>
      <c r="G179" s="617">
        <f t="shared" si="29"/>
        <v>-302446</v>
      </c>
      <c r="H179" s="617">
        <f t="shared" si="29"/>
        <v>0</v>
      </c>
      <c r="I179" s="617">
        <f t="shared" si="29"/>
        <v>357335</v>
      </c>
      <c r="J179" s="617">
        <f t="shared" si="29"/>
        <v>0</v>
      </c>
      <c r="K179" s="617">
        <f t="shared" si="29"/>
        <v>0</v>
      </c>
      <c r="L179" s="630">
        <f t="shared" si="29"/>
        <v>0</v>
      </c>
      <c r="M179" s="676">
        <f t="shared" si="29"/>
        <v>204158</v>
      </c>
    </row>
    <row r="180" spans="2:15" s="590" customFormat="1" ht="5.0999999999999996" customHeight="1">
      <c r="B180" s="589"/>
      <c r="E180" s="589"/>
      <c r="F180" s="605"/>
      <c r="G180" s="605"/>
      <c r="H180" s="605"/>
    </row>
    <row r="181" spans="2:15" s="590" customFormat="1" ht="15" customHeight="1" thickBot="1">
      <c r="B181" s="589"/>
      <c r="D181" s="590" t="s">
        <v>379</v>
      </c>
      <c r="E181" s="589"/>
      <c r="F181" s="605"/>
      <c r="G181" s="605"/>
      <c r="H181" s="605"/>
      <c r="M181" s="677"/>
      <c r="N181" s="677"/>
      <c r="O181" s="677"/>
    </row>
    <row r="182" spans="2:15" s="662" customFormat="1" ht="30" customHeight="1">
      <c r="B182" s="678"/>
      <c r="D182" s="679"/>
      <c r="E182" s="680" t="s">
        <v>380</v>
      </c>
      <c r="F182" s="608" t="s">
        <v>401</v>
      </c>
      <c r="G182" s="608" t="s">
        <v>381</v>
      </c>
      <c r="H182" s="608" t="s">
        <v>382</v>
      </c>
      <c r="I182" s="608" t="s">
        <v>383</v>
      </c>
      <c r="J182" s="608" t="s">
        <v>384</v>
      </c>
      <c r="K182" s="619" t="s">
        <v>43</v>
      </c>
      <c r="L182" s="620" t="s">
        <v>132</v>
      </c>
      <c r="M182" s="623"/>
      <c r="N182" s="681"/>
      <c r="O182" s="682"/>
    </row>
    <row r="183" spans="2:15" s="590" customFormat="1" ht="13.5" hidden="1" customHeight="1">
      <c r="B183" s="589"/>
      <c r="D183" s="591" t="s">
        <v>754</v>
      </c>
      <c r="E183" s="683">
        <v>19877</v>
      </c>
      <c r="F183" s="684">
        <v>0</v>
      </c>
      <c r="G183" s="593">
        <v>0</v>
      </c>
      <c r="H183" s="593">
        <v>6382</v>
      </c>
      <c r="I183" s="593">
        <v>0</v>
      </c>
      <c r="J183" s="611">
        <v>839310</v>
      </c>
      <c r="K183" s="671">
        <v>98015</v>
      </c>
      <c r="L183" s="672">
        <f t="shared" ref="L183:L197" si="30">SUM(C183:K183)</f>
        <v>963584</v>
      </c>
      <c r="M183" s="625"/>
      <c r="N183" s="685"/>
      <c r="O183" s="677"/>
    </row>
    <row r="184" spans="2:15" s="590" customFormat="1" ht="13.5" hidden="1" customHeight="1">
      <c r="B184" s="589"/>
      <c r="D184" s="591" t="s">
        <v>755</v>
      </c>
      <c r="E184" s="683">
        <v>14429</v>
      </c>
      <c r="F184" s="686">
        <v>3042000</v>
      </c>
      <c r="G184" s="593">
        <v>0</v>
      </c>
      <c r="H184" s="593">
        <v>5343</v>
      </c>
      <c r="I184" s="593">
        <v>0</v>
      </c>
      <c r="J184" s="611">
        <v>707173</v>
      </c>
      <c r="K184" s="671">
        <v>68489</v>
      </c>
      <c r="L184" s="672">
        <f t="shared" si="30"/>
        <v>3837434</v>
      </c>
      <c r="M184" s="625"/>
      <c r="N184" s="685"/>
      <c r="O184" s="677"/>
    </row>
    <row r="185" spans="2:15" s="590" customFormat="1" ht="13.5" hidden="1" customHeight="1">
      <c r="B185" s="589"/>
      <c r="D185" s="591" t="s">
        <v>756</v>
      </c>
      <c r="E185" s="596">
        <v>11031</v>
      </c>
      <c r="F185" s="686">
        <v>3075959</v>
      </c>
      <c r="G185" s="597">
        <v>0</v>
      </c>
      <c r="H185" s="597">
        <v>4870</v>
      </c>
      <c r="I185" s="597">
        <v>0</v>
      </c>
      <c r="J185" s="613">
        <v>654790</v>
      </c>
      <c r="K185" s="671">
        <v>53119</v>
      </c>
      <c r="L185" s="672">
        <f t="shared" si="30"/>
        <v>3799769</v>
      </c>
      <c r="M185" s="625"/>
      <c r="N185" s="685"/>
      <c r="O185" s="677"/>
    </row>
    <row r="186" spans="2:15" s="590" customFormat="1" ht="13.5" customHeight="1">
      <c r="B186" s="589"/>
      <c r="D186" s="591" t="s">
        <v>824</v>
      </c>
      <c r="E186" s="596">
        <v>7498</v>
      </c>
      <c r="F186" s="686">
        <v>1003687</v>
      </c>
      <c r="G186" s="597">
        <v>0</v>
      </c>
      <c r="H186" s="597">
        <v>4397</v>
      </c>
      <c r="I186" s="597">
        <v>0</v>
      </c>
      <c r="J186" s="613">
        <v>602407</v>
      </c>
      <c r="K186" s="671">
        <v>46701</v>
      </c>
      <c r="L186" s="672">
        <f t="shared" si="30"/>
        <v>1664690</v>
      </c>
      <c r="M186" s="590" t="s">
        <v>900</v>
      </c>
      <c r="N186" s="685"/>
      <c r="O186" s="677"/>
    </row>
    <row r="187" spans="2:15" s="590" customFormat="1" ht="13.5" customHeight="1">
      <c r="B187" s="589"/>
      <c r="D187" s="591" t="s">
        <v>757</v>
      </c>
      <c r="E187" s="596">
        <v>3822</v>
      </c>
      <c r="F187" s="686">
        <v>0</v>
      </c>
      <c r="G187" s="597">
        <v>0</v>
      </c>
      <c r="H187" s="597">
        <v>3925</v>
      </c>
      <c r="I187" s="597">
        <v>0</v>
      </c>
      <c r="J187" s="613">
        <v>550024</v>
      </c>
      <c r="K187" s="671">
        <v>29567</v>
      </c>
      <c r="L187" s="672">
        <f t="shared" si="30"/>
        <v>587338</v>
      </c>
      <c r="M187" s="590" t="s">
        <v>901</v>
      </c>
      <c r="N187" s="685"/>
      <c r="O187" s="677"/>
    </row>
    <row r="188" spans="2:15" s="590" customFormat="1" ht="13.5" customHeight="1">
      <c r="B188" s="589"/>
      <c r="D188" s="591" t="s">
        <v>758</v>
      </c>
      <c r="E188" s="596">
        <v>0</v>
      </c>
      <c r="F188" s="687">
        <v>0</v>
      </c>
      <c r="G188" s="597">
        <v>0</v>
      </c>
      <c r="H188" s="597">
        <v>3453</v>
      </c>
      <c r="I188" s="597">
        <v>0</v>
      </c>
      <c r="J188" s="613">
        <v>497640</v>
      </c>
      <c r="K188" s="673">
        <v>17222</v>
      </c>
      <c r="L188" s="672">
        <f t="shared" si="30"/>
        <v>518315</v>
      </c>
      <c r="M188" s="590" t="s">
        <v>902</v>
      </c>
      <c r="N188" s="685"/>
      <c r="O188" s="677"/>
    </row>
    <row r="189" spans="2:15" s="590" customFormat="1" ht="13.5" customHeight="1">
      <c r="B189" s="589"/>
      <c r="D189" s="591" t="s">
        <v>759</v>
      </c>
      <c r="E189" s="596">
        <v>0</v>
      </c>
      <c r="F189" s="687">
        <v>0</v>
      </c>
      <c r="G189" s="597">
        <v>0</v>
      </c>
      <c r="H189" s="597">
        <v>2980</v>
      </c>
      <c r="I189" s="597">
        <v>0</v>
      </c>
      <c r="J189" s="613">
        <v>445257</v>
      </c>
      <c r="K189" s="673">
        <v>8811</v>
      </c>
      <c r="L189" s="672">
        <f t="shared" si="30"/>
        <v>457048</v>
      </c>
      <c r="M189" s="590" t="s">
        <v>903</v>
      </c>
      <c r="N189" s="685"/>
      <c r="O189" s="677"/>
    </row>
    <row r="190" spans="2:15" s="590" customFormat="1" ht="13.5" customHeight="1">
      <c r="B190" s="589"/>
      <c r="D190" s="591" t="s">
        <v>760</v>
      </c>
      <c r="E190" s="596">
        <v>0</v>
      </c>
      <c r="F190" s="687">
        <v>0</v>
      </c>
      <c r="G190" s="597">
        <v>0</v>
      </c>
      <c r="H190" s="597">
        <v>2508</v>
      </c>
      <c r="I190" s="597">
        <v>0</v>
      </c>
      <c r="J190" s="613">
        <v>392874</v>
      </c>
      <c r="K190" s="673">
        <v>3830</v>
      </c>
      <c r="L190" s="672">
        <f t="shared" si="30"/>
        <v>399212</v>
      </c>
      <c r="M190" s="590" t="s">
        <v>904</v>
      </c>
      <c r="N190" s="685"/>
      <c r="O190" s="677"/>
    </row>
    <row r="191" spans="2:15" s="590" customFormat="1" ht="13.5" customHeight="1">
      <c r="B191" s="589"/>
      <c r="D191" s="591" t="s">
        <v>761</v>
      </c>
      <c r="E191" s="596">
        <v>0</v>
      </c>
      <c r="F191" s="688">
        <v>0</v>
      </c>
      <c r="G191" s="596">
        <v>0</v>
      </c>
      <c r="H191" s="596">
        <v>2035</v>
      </c>
      <c r="I191" s="596">
        <v>0</v>
      </c>
      <c r="J191" s="615">
        <v>340491</v>
      </c>
      <c r="K191" s="674">
        <v>1600</v>
      </c>
      <c r="L191" s="675">
        <f t="shared" si="30"/>
        <v>344126</v>
      </c>
      <c r="M191" s="625" t="s">
        <v>896</v>
      </c>
      <c r="N191" s="685"/>
      <c r="O191" s="677"/>
    </row>
    <row r="192" spans="2:15" s="590" customFormat="1" ht="13.5" customHeight="1">
      <c r="B192" s="589"/>
      <c r="D192" s="591" t="s">
        <v>762</v>
      </c>
      <c r="E192" s="596">
        <v>0</v>
      </c>
      <c r="F192" s="688">
        <v>0</v>
      </c>
      <c r="G192" s="596">
        <v>0</v>
      </c>
      <c r="H192" s="596">
        <v>1563</v>
      </c>
      <c r="I192" s="596">
        <v>0</v>
      </c>
      <c r="J192" s="615">
        <v>288108</v>
      </c>
      <c r="K192" s="674">
        <v>800</v>
      </c>
      <c r="L192" s="675">
        <f t="shared" si="30"/>
        <v>290471</v>
      </c>
      <c r="M192" s="625" t="s">
        <v>897</v>
      </c>
      <c r="N192" s="685"/>
      <c r="O192" s="677"/>
    </row>
    <row r="193" spans="2:15" s="590" customFormat="1" ht="13.5" customHeight="1">
      <c r="B193" s="589"/>
      <c r="D193" s="591" t="s">
        <v>763</v>
      </c>
      <c r="E193" s="596">
        <v>0</v>
      </c>
      <c r="F193" s="688">
        <v>0</v>
      </c>
      <c r="G193" s="596">
        <v>0</v>
      </c>
      <c r="H193" s="596">
        <v>1090</v>
      </c>
      <c r="I193" s="596">
        <v>0</v>
      </c>
      <c r="J193" s="615">
        <v>235724</v>
      </c>
      <c r="K193" s="674">
        <v>0</v>
      </c>
      <c r="L193" s="675">
        <f t="shared" si="30"/>
        <v>236814</v>
      </c>
      <c r="M193" s="625" t="s">
        <v>898</v>
      </c>
      <c r="N193" s="685"/>
      <c r="O193" s="677"/>
    </row>
    <row r="194" spans="2:15" s="590" customFormat="1" ht="13.5" customHeight="1">
      <c r="B194" s="589"/>
      <c r="D194" s="602" t="s">
        <v>752</v>
      </c>
      <c r="E194" s="596">
        <v>0</v>
      </c>
      <c r="F194" s="688">
        <v>0</v>
      </c>
      <c r="G194" s="596">
        <v>0</v>
      </c>
      <c r="H194" s="596">
        <v>818</v>
      </c>
      <c r="I194" s="596">
        <v>0</v>
      </c>
      <c r="J194" s="615">
        <v>183341</v>
      </c>
      <c r="K194" s="674">
        <v>0</v>
      </c>
      <c r="L194" s="675">
        <f t="shared" si="30"/>
        <v>184159</v>
      </c>
      <c r="M194" s="625" t="s">
        <v>899</v>
      </c>
      <c r="N194" s="685"/>
      <c r="O194" s="677"/>
    </row>
    <row r="195" spans="2:15" s="590" customFormat="1" ht="13.5" customHeight="1">
      <c r="B195" s="589"/>
      <c r="D195" s="602" t="s">
        <v>771</v>
      </c>
      <c r="E195" s="596">
        <v>0</v>
      </c>
      <c r="F195" s="688">
        <v>0</v>
      </c>
      <c r="G195" s="596">
        <v>0</v>
      </c>
      <c r="H195" s="596">
        <v>545</v>
      </c>
      <c r="I195" s="596">
        <v>0</v>
      </c>
      <c r="J195" s="615">
        <v>130958</v>
      </c>
      <c r="K195" s="674">
        <v>0</v>
      </c>
      <c r="L195" s="675">
        <f t="shared" si="30"/>
        <v>131503</v>
      </c>
      <c r="M195" s="625"/>
      <c r="N195" s="685"/>
      <c r="O195" s="677"/>
    </row>
    <row r="196" spans="2:15" s="590" customFormat="1" ht="13.5" customHeight="1">
      <c r="B196" s="589"/>
      <c r="D196" s="602" t="s">
        <v>778</v>
      </c>
      <c r="E196" s="596">
        <v>0</v>
      </c>
      <c r="F196" s="688">
        <v>0</v>
      </c>
      <c r="G196" s="596">
        <v>0</v>
      </c>
      <c r="H196" s="596">
        <v>272</v>
      </c>
      <c r="I196" s="596">
        <v>0</v>
      </c>
      <c r="J196" s="615">
        <v>78575</v>
      </c>
      <c r="K196" s="674">
        <v>0</v>
      </c>
      <c r="L196" s="675">
        <f t="shared" si="30"/>
        <v>78847</v>
      </c>
      <c r="M196" s="625"/>
      <c r="N196" s="685"/>
      <c r="O196" s="677"/>
    </row>
    <row r="197" spans="2:15" s="590" customFormat="1" ht="13.5" customHeight="1">
      <c r="B197" s="589"/>
      <c r="D197" s="602" t="s">
        <v>790</v>
      </c>
      <c r="E197" s="596">
        <v>0</v>
      </c>
      <c r="F197" s="688">
        <v>0</v>
      </c>
      <c r="G197" s="596">
        <v>0</v>
      </c>
      <c r="H197" s="596">
        <v>0</v>
      </c>
      <c r="I197" s="596">
        <v>0</v>
      </c>
      <c r="J197" s="615">
        <v>26192</v>
      </c>
      <c r="K197" s="674">
        <v>0</v>
      </c>
      <c r="L197" s="675">
        <f t="shared" si="30"/>
        <v>26192</v>
      </c>
      <c r="M197" s="625"/>
      <c r="N197" s="685"/>
      <c r="O197" s="677"/>
    </row>
    <row r="198" spans="2:15" s="590" customFormat="1" ht="13.5" customHeight="1">
      <c r="B198" s="589"/>
      <c r="D198" s="602" t="s">
        <v>797</v>
      </c>
      <c r="E198" s="596">
        <v>0</v>
      </c>
      <c r="F198" s="688">
        <v>0</v>
      </c>
      <c r="G198" s="596">
        <v>0</v>
      </c>
      <c r="H198" s="596">
        <v>0</v>
      </c>
      <c r="I198" s="596">
        <v>0</v>
      </c>
      <c r="J198" s="615">
        <v>0</v>
      </c>
      <c r="K198" s="674">
        <v>0</v>
      </c>
      <c r="L198" s="675">
        <f t="shared" ref="L198:L199" si="31">SUM(C198:K198)</f>
        <v>0</v>
      </c>
      <c r="M198" s="625"/>
      <c r="N198" s="685"/>
      <c r="O198" s="795"/>
    </row>
    <row r="199" spans="2:15" s="590" customFormat="1" ht="13.5" customHeight="1">
      <c r="B199" s="589"/>
      <c r="D199" s="602" t="s">
        <v>840</v>
      </c>
      <c r="E199" s="596">
        <v>0</v>
      </c>
      <c r="F199" s="688">
        <v>0</v>
      </c>
      <c r="G199" s="596">
        <v>0</v>
      </c>
      <c r="H199" s="596">
        <v>0</v>
      </c>
      <c r="I199" s="596">
        <v>0</v>
      </c>
      <c r="J199" s="615">
        <v>0</v>
      </c>
      <c r="K199" s="674">
        <v>149226</v>
      </c>
      <c r="L199" s="675">
        <f t="shared" si="31"/>
        <v>149226</v>
      </c>
      <c r="M199" s="625"/>
      <c r="N199" s="685"/>
      <c r="O199" s="677"/>
    </row>
    <row r="200" spans="2:15" s="590" customFormat="1" ht="13.5" customHeight="1" thickBot="1">
      <c r="B200" s="589"/>
      <c r="D200" s="616" t="s">
        <v>350</v>
      </c>
      <c r="E200" s="617">
        <f t="shared" ref="E200:L200" si="32">E199-E198</f>
        <v>0</v>
      </c>
      <c r="F200" s="617">
        <f t="shared" si="32"/>
        <v>0</v>
      </c>
      <c r="G200" s="617">
        <f t="shared" si="32"/>
        <v>0</v>
      </c>
      <c r="H200" s="617">
        <f t="shared" si="32"/>
        <v>0</v>
      </c>
      <c r="I200" s="617">
        <f t="shared" si="32"/>
        <v>0</v>
      </c>
      <c r="J200" s="617">
        <f t="shared" si="32"/>
        <v>0</v>
      </c>
      <c r="K200" s="617">
        <f t="shared" si="32"/>
        <v>149226</v>
      </c>
      <c r="L200" s="676">
        <f t="shared" si="32"/>
        <v>149226</v>
      </c>
      <c r="M200" s="628"/>
      <c r="N200" s="689"/>
      <c r="O200" s="677"/>
    </row>
    <row r="201" spans="2:15" s="590" customFormat="1" ht="5.0999999999999996" customHeight="1">
      <c r="B201" s="589"/>
      <c r="E201" s="589"/>
      <c r="F201" s="605"/>
      <c r="G201" s="605"/>
      <c r="H201" s="605"/>
      <c r="M201" s="677"/>
      <c r="N201" s="677"/>
      <c r="O201" s="677"/>
    </row>
    <row r="202" spans="2:15" s="590" customFormat="1" ht="15" customHeight="1" thickBot="1">
      <c r="B202" s="589"/>
      <c r="D202" s="590" t="s">
        <v>385</v>
      </c>
      <c r="E202" s="589"/>
      <c r="F202" s="605"/>
      <c r="G202" s="605"/>
      <c r="H202" s="605"/>
      <c r="J202" s="605"/>
      <c r="M202" s="677"/>
      <c r="N202" s="677"/>
      <c r="O202" s="677"/>
    </row>
    <row r="203" spans="2:15" s="662" customFormat="1" ht="24.95" customHeight="1">
      <c r="B203" s="678"/>
      <c r="D203" s="679"/>
      <c r="E203" s="680" t="s">
        <v>222</v>
      </c>
      <c r="F203" s="608" t="s">
        <v>150</v>
      </c>
      <c r="G203" s="608" t="s">
        <v>386</v>
      </c>
      <c r="H203" s="690" t="s">
        <v>734</v>
      </c>
      <c r="I203" s="620" t="s">
        <v>132</v>
      </c>
      <c r="J203" s="794"/>
      <c r="K203" s="623"/>
      <c r="L203" s="692"/>
      <c r="M203" s="693"/>
    </row>
    <row r="204" spans="2:15" s="590" customFormat="1" ht="13.5" hidden="1" customHeight="1">
      <c r="B204" s="589"/>
      <c r="D204" s="591" t="s">
        <v>754</v>
      </c>
      <c r="E204" s="683">
        <v>195278</v>
      </c>
      <c r="F204" s="593">
        <v>31542</v>
      </c>
      <c r="G204" s="593">
        <v>19473258</v>
      </c>
      <c r="H204" s="594">
        <v>781960</v>
      </c>
      <c r="I204" s="672">
        <f t="shared" ref="I204:I218" si="33">SUM(E204:H204)</f>
        <v>20482038</v>
      </c>
    </row>
    <row r="205" spans="2:15" s="590" customFormat="1" ht="13.5" hidden="1" customHeight="1">
      <c r="B205" s="589"/>
      <c r="D205" s="591" t="s">
        <v>755</v>
      </c>
      <c r="E205" s="683">
        <v>131060</v>
      </c>
      <c r="F205" s="593">
        <v>212223</v>
      </c>
      <c r="G205" s="593">
        <v>19100444</v>
      </c>
      <c r="H205" s="594">
        <v>654436</v>
      </c>
      <c r="I205" s="672">
        <f t="shared" si="33"/>
        <v>20098163</v>
      </c>
    </row>
    <row r="206" spans="2:15" s="590" customFormat="1" ht="13.5" hidden="1" customHeight="1">
      <c r="B206" s="589"/>
      <c r="D206" s="591" t="s">
        <v>756</v>
      </c>
      <c r="E206" s="596">
        <v>107480</v>
      </c>
      <c r="F206" s="597">
        <v>291945</v>
      </c>
      <c r="G206" s="597">
        <v>17805682</v>
      </c>
      <c r="H206" s="598">
        <v>773729</v>
      </c>
      <c r="I206" s="672">
        <f t="shared" si="33"/>
        <v>18978836</v>
      </c>
    </row>
    <row r="207" spans="2:15" s="590" customFormat="1" ht="13.5" customHeight="1">
      <c r="B207" s="589"/>
      <c r="D207" s="591" t="s">
        <v>824</v>
      </c>
      <c r="E207" s="596">
        <v>142885</v>
      </c>
      <c r="F207" s="597">
        <v>268655</v>
      </c>
      <c r="G207" s="597">
        <v>15549857</v>
      </c>
      <c r="H207" s="598">
        <v>802079</v>
      </c>
      <c r="I207" s="672">
        <f t="shared" si="33"/>
        <v>16763476</v>
      </c>
      <c r="J207" s="628" t="s">
        <v>885</v>
      </c>
    </row>
    <row r="208" spans="2:15" s="590" customFormat="1" ht="13.5" customHeight="1">
      <c r="B208" s="589"/>
      <c r="D208" s="591" t="s">
        <v>757</v>
      </c>
      <c r="E208" s="596">
        <v>1325274</v>
      </c>
      <c r="F208" s="597">
        <v>91381</v>
      </c>
      <c r="G208" s="597">
        <v>12801694</v>
      </c>
      <c r="H208" s="598">
        <v>797033</v>
      </c>
      <c r="I208" s="672">
        <f t="shared" si="33"/>
        <v>15015382</v>
      </c>
      <c r="J208" s="590" t="s">
        <v>886</v>
      </c>
      <c r="K208" s="460"/>
      <c r="L208" s="460"/>
      <c r="M208" s="460"/>
      <c r="N208" s="460"/>
      <c r="O208" s="460"/>
    </row>
    <row r="209" spans="2:15" s="590" customFormat="1" ht="13.5" customHeight="1">
      <c r="B209" s="589"/>
      <c r="D209" s="591" t="s">
        <v>758</v>
      </c>
      <c r="E209" s="596">
        <v>3205593</v>
      </c>
      <c r="F209" s="597">
        <v>38430</v>
      </c>
      <c r="G209" s="597">
        <v>11458925</v>
      </c>
      <c r="H209" s="598">
        <v>741041</v>
      </c>
      <c r="I209" s="672">
        <f t="shared" si="33"/>
        <v>15443989</v>
      </c>
      <c r="J209" s="625" t="s">
        <v>881</v>
      </c>
      <c r="K209" s="460"/>
      <c r="L209" s="460"/>
      <c r="M209" s="460"/>
      <c r="N209" s="460"/>
      <c r="O209" s="460"/>
    </row>
    <row r="210" spans="2:15" s="590" customFormat="1" ht="13.5" customHeight="1">
      <c r="B210" s="589"/>
      <c r="D210" s="591" t="s">
        <v>759</v>
      </c>
      <c r="E210" s="596">
        <v>5374305</v>
      </c>
      <c r="F210" s="597">
        <v>37156</v>
      </c>
      <c r="G210" s="597">
        <v>11057638</v>
      </c>
      <c r="H210" s="598">
        <v>700076</v>
      </c>
      <c r="I210" s="672">
        <f t="shared" si="33"/>
        <v>17169175</v>
      </c>
      <c r="J210" s="625" t="s">
        <v>882</v>
      </c>
      <c r="K210" s="460"/>
      <c r="L210" s="460"/>
      <c r="M210" s="460"/>
      <c r="N210" s="460"/>
      <c r="O210" s="460"/>
    </row>
    <row r="211" spans="2:15" s="590" customFormat="1" ht="13.5" customHeight="1">
      <c r="B211" s="589"/>
      <c r="D211" s="591" t="s">
        <v>760</v>
      </c>
      <c r="E211" s="596">
        <v>5777226</v>
      </c>
      <c r="F211" s="597">
        <v>26988</v>
      </c>
      <c r="G211" s="597">
        <v>11471268</v>
      </c>
      <c r="H211" s="598">
        <v>640383</v>
      </c>
      <c r="I211" s="672">
        <f t="shared" si="33"/>
        <v>17915865</v>
      </c>
      <c r="J211" s="628" t="s">
        <v>883</v>
      </c>
      <c r="K211" s="460"/>
      <c r="L211" s="587"/>
      <c r="M211" s="460"/>
      <c r="N211" s="460"/>
      <c r="O211" s="460"/>
    </row>
    <row r="212" spans="2:15" s="590" customFormat="1" ht="13.5" customHeight="1">
      <c r="B212" s="589"/>
      <c r="D212" s="591" t="s">
        <v>761</v>
      </c>
      <c r="E212" s="596">
        <v>6116077</v>
      </c>
      <c r="F212" s="596">
        <v>20283</v>
      </c>
      <c r="G212" s="596">
        <v>10676461</v>
      </c>
      <c r="H212" s="599">
        <v>667331</v>
      </c>
      <c r="I212" s="672">
        <f t="shared" si="33"/>
        <v>17480152</v>
      </c>
      <c r="J212" s="605" t="s">
        <v>884</v>
      </c>
      <c r="K212" s="460"/>
      <c r="L212" s="586"/>
      <c r="M212" s="460"/>
      <c r="N212" s="460"/>
      <c r="O212" s="460"/>
    </row>
    <row r="213" spans="2:15" s="590" customFormat="1" ht="13.5" customHeight="1">
      <c r="B213" s="589"/>
      <c r="D213" s="591" t="s">
        <v>762</v>
      </c>
      <c r="E213" s="596">
        <v>6263524</v>
      </c>
      <c r="F213" s="596">
        <v>10008</v>
      </c>
      <c r="G213" s="596">
        <v>11024251</v>
      </c>
      <c r="H213" s="599">
        <v>665849</v>
      </c>
      <c r="I213" s="675">
        <f t="shared" si="33"/>
        <v>17963632</v>
      </c>
      <c r="J213" s="590" t="s">
        <v>888</v>
      </c>
      <c r="K213" s="586"/>
      <c r="L213" s="586"/>
      <c r="M213" s="460"/>
      <c r="N213" s="460"/>
      <c r="O213" s="460"/>
    </row>
    <row r="214" spans="2:15" s="590" customFormat="1" ht="13.5" customHeight="1">
      <c r="B214" s="589"/>
      <c r="D214" s="591" t="s">
        <v>763</v>
      </c>
      <c r="E214" s="596">
        <v>5589820</v>
      </c>
      <c r="F214" s="596">
        <v>6410</v>
      </c>
      <c r="G214" s="596">
        <v>10639319</v>
      </c>
      <c r="H214" s="599">
        <v>696857</v>
      </c>
      <c r="I214" s="675">
        <f t="shared" si="33"/>
        <v>16932406</v>
      </c>
      <c r="J214" s="590" t="s">
        <v>889</v>
      </c>
      <c r="K214" s="586"/>
      <c r="L214" s="586"/>
      <c r="M214" s="460"/>
      <c r="N214" s="460"/>
      <c r="O214" s="460"/>
    </row>
    <row r="215" spans="2:15" s="590" customFormat="1" ht="13.5" customHeight="1">
      <c r="B215" s="589"/>
      <c r="D215" s="602" t="s">
        <v>752</v>
      </c>
      <c r="E215" s="596">
        <v>4937986</v>
      </c>
      <c r="F215" s="596">
        <v>3420</v>
      </c>
      <c r="G215" s="596">
        <v>8643384</v>
      </c>
      <c r="H215" s="599">
        <v>515987</v>
      </c>
      <c r="I215" s="675">
        <f t="shared" si="33"/>
        <v>14100777</v>
      </c>
      <c r="J215" s="625" t="s">
        <v>890</v>
      </c>
      <c r="K215" s="586"/>
      <c r="L215" s="586"/>
      <c r="M215" s="460"/>
      <c r="N215" s="460"/>
      <c r="O215" s="460"/>
    </row>
    <row r="216" spans="2:15" s="590" customFormat="1" ht="13.5" customHeight="1">
      <c r="B216" s="589"/>
      <c r="D216" s="602" t="s">
        <v>771</v>
      </c>
      <c r="E216" s="596">
        <v>4270750</v>
      </c>
      <c r="F216" s="596">
        <v>3512</v>
      </c>
      <c r="G216" s="596">
        <v>9552626</v>
      </c>
      <c r="H216" s="599">
        <v>425225</v>
      </c>
      <c r="I216" s="675">
        <f t="shared" si="33"/>
        <v>14252113</v>
      </c>
      <c r="J216" s="590" t="s">
        <v>891</v>
      </c>
      <c r="K216" s="586"/>
      <c r="L216" s="586"/>
      <c r="M216" s="460"/>
      <c r="N216" s="460"/>
      <c r="O216" s="460"/>
    </row>
    <row r="217" spans="2:15" s="590" customFormat="1" ht="13.5" customHeight="1">
      <c r="B217" s="589"/>
      <c r="D217" s="602" t="s">
        <v>778</v>
      </c>
      <c r="E217" s="596">
        <v>3720602</v>
      </c>
      <c r="F217" s="596">
        <v>3557</v>
      </c>
      <c r="G217" s="596">
        <v>7614606</v>
      </c>
      <c r="H217" s="599">
        <v>391677</v>
      </c>
      <c r="I217" s="675">
        <f t="shared" si="33"/>
        <v>11730442</v>
      </c>
      <c r="J217" s="796" t="s">
        <v>892</v>
      </c>
      <c r="K217" s="625"/>
      <c r="L217" s="625"/>
    </row>
    <row r="218" spans="2:15" s="590" customFormat="1" ht="13.5" customHeight="1">
      <c r="B218" s="589"/>
      <c r="D218" s="602" t="s">
        <v>790</v>
      </c>
      <c r="E218" s="596">
        <v>3866680</v>
      </c>
      <c r="F218" s="596">
        <v>3897</v>
      </c>
      <c r="G218" s="596">
        <v>7222029</v>
      </c>
      <c r="H218" s="599">
        <v>414763</v>
      </c>
      <c r="I218" s="675">
        <f t="shared" si="33"/>
        <v>11507369</v>
      </c>
      <c r="J218" s="694" t="s">
        <v>893</v>
      </c>
      <c r="K218" s="625"/>
      <c r="L218" s="625"/>
    </row>
    <row r="219" spans="2:15" s="590" customFormat="1" ht="13.5" customHeight="1">
      <c r="B219" s="589"/>
      <c r="D219" s="602" t="s">
        <v>797</v>
      </c>
      <c r="E219" s="596">
        <v>3963663</v>
      </c>
      <c r="F219" s="596">
        <v>8635</v>
      </c>
      <c r="G219" s="596">
        <v>7069617</v>
      </c>
      <c r="H219" s="599">
        <v>367973</v>
      </c>
      <c r="I219" s="675">
        <f t="shared" ref="I219:I220" si="34">SUM(E219:H219)</f>
        <v>11409888</v>
      </c>
      <c r="J219" s="694" t="s">
        <v>894</v>
      </c>
      <c r="K219" s="625"/>
      <c r="L219" s="625"/>
    </row>
    <row r="220" spans="2:15" s="590" customFormat="1" ht="13.5" customHeight="1">
      <c r="B220" s="589"/>
      <c r="D220" s="602" t="s">
        <v>840</v>
      </c>
      <c r="E220" s="596">
        <v>3794055</v>
      </c>
      <c r="F220" s="596">
        <v>9418</v>
      </c>
      <c r="G220" s="596">
        <v>6885797</v>
      </c>
      <c r="H220" s="599">
        <v>418172</v>
      </c>
      <c r="I220" s="675">
        <f t="shared" si="34"/>
        <v>11107442</v>
      </c>
      <c r="J220" s="694" t="s">
        <v>895</v>
      </c>
      <c r="K220" s="625"/>
      <c r="L220" s="625"/>
    </row>
    <row r="221" spans="2:15" s="590" customFormat="1" ht="13.5" customHeight="1" thickBot="1">
      <c r="B221" s="589"/>
      <c r="D221" s="616" t="s">
        <v>350</v>
      </c>
      <c r="E221" s="617">
        <f>E220-E219</f>
        <v>-169608</v>
      </c>
      <c r="F221" s="617">
        <f t="shared" ref="F221:H221" si="35">F220-F219</f>
        <v>783</v>
      </c>
      <c r="G221" s="617">
        <f t="shared" si="35"/>
        <v>-183820</v>
      </c>
      <c r="H221" s="617">
        <f t="shared" si="35"/>
        <v>50199</v>
      </c>
      <c r="I221" s="676">
        <f>I220-I219</f>
        <v>-302446</v>
      </c>
      <c r="J221" s="621"/>
      <c r="K221" s="628"/>
      <c r="L221" s="628"/>
    </row>
    <row r="222" spans="2:15" s="590" customFormat="1" ht="18.75" customHeight="1" thickBot="1">
      <c r="B222" s="589"/>
      <c r="C222" s="604" t="s">
        <v>34</v>
      </c>
      <c r="D222" s="590" t="s">
        <v>291</v>
      </c>
      <c r="E222" s="589" t="s">
        <v>63</v>
      </c>
      <c r="F222" s="589" t="s">
        <v>64</v>
      </c>
      <c r="G222" s="589" t="s">
        <v>644</v>
      </c>
      <c r="H222" s="589" t="s">
        <v>66</v>
      </c>
      <c r="I222" s="589" t="s">
        <v>645</v>
      </c>
      <c r="J222" s="589" t="s">
        <v>646</v>
      </c>
      <c r="K222" s="589" t="s">
        <v>69</v>
      </c>
      <c r="L222" s="589" t="s">
        <v>647</v>
      </c>
      <c r="M222" s="589" t="s">
        <v>648</v>
      </c>
      <c r="N222" s="589" t="s">
        <v>72</v>
      </c>
      <c r="O222" s="589" t="s">
        <v>649</v>
      </c>
    </row>
    <row r="223" spans="2:15" s="590" customFormat="1" ht="34.5" customHeight="1">
      <c r="B223" s="589"/>
      <c r="D223" s="631"/>
      <c r="E223" s="695" t="s">
        <v>289</v>
      </c>
      <c r="F223" s="696" t="s">
        <v>184</v>
      </c>
      <c r="G223" s="697" t="s">
        <v>408</v>
      </c>
      <c r="H223" s="696" t="s">
        <v>410</v>
      </c>
      <c r="I223" s="696" t="s">
        <v>409</v>
      </c>
      <c r="J223" s="696" t="s">
        <v>299</v>
      </c>
      <c r="K223" s="697" t="s">
        <v>411</v>
      </c>
      <c r="L223" s="698" t="s">
        <v>301</v>
      </c>
      <c r="M223" s="698" t="s">
        <v>412</v>
      </c>
      <c r="N223" s="699" t="s">
        <v>518</v>
      </c>
      <c r="O223" s="653" t="s">
        <v>132</v>
      </c>
    </row>
    <row r="224" spans="2:15" s="590" customFormat="1" ht="13.5" hidden="1" customHeight="1">
      <c r="B224" s="589"/>
      <c r="D224" s="700" t="s">
        <v>361</v>
      </c>
      <c r="E224" s="701">
        <v>753374</v>
      </c>
      <c r="F224" s="702">
        <v>4628026</v>
      </c>
      <c r="G224" s="702">
        <v>787634</v>
      </c>
      <c r="H224" s="702">
        <v>2999425</v>
      </c>
      <c r="I224" s="703">
        <f t="shared" ref="I224:I238" si="36">E224/(F224+G224-H224)</f>
        <v>0.31179665885147761</v>
      </c>
      <c r="J224" s="703"/>
      <c r="K224" s="704"/>
      <c r="L224" s="704"/>
      <c r="M224" s="705"/>
      <c r="N224" s="705"/>
      <c r="O224" s="706"/>
    </row>
    <row r="225" spans="2:15" s="590" customFormat="1" ht="13.5" hidden="1" customHeight="1">
      <c r="B225" s="589"/>
      <c r="D225" s="707" t="s">
        <v>349</v>
      </c>
      <c r="E225" s="701">
        <v>808716</v>
      </c>
      <c r="F225" s="702">
        <v>3357769</v>
      </c>
      <c r="G225" s="702">
        <v>775923</v>
      </c>
      <c r="H225" s="702">
        <v>1616009</v>
      </c>
      <c r="I225" s="703">
        <f t="shared" si="36"/>
        <v>0.32121438640210065</v>
      </c>
      <c r="J225" s="703"/>
      <c r="K225" s="704"/>
      <c r="L225" s="704"/>
      <c r="M225" s="705"/>
      <c r="N225" s="705"/>
      <c r="O225" s="706"/>
    </row>
    <row r="226" spans="2:15" s="590" customFormat="1" ht="18" hidden="1" customHeight="1">
      <c r="B226" s="589"/>
      <c r="D226" s="591" t="s">
        <v>754</v>
      </c>
      <c r="E226" s="701">
        <v>831988</v>
      </c>
      <c r="F226" s="702">
        <v>2244987</v>
      </c>
      <c r="G226" s="702">
        <v>750575</v>
      </c>
      <c r="H226" s="702">
        <v>1154798</v>
      </c>
      <c r="I226" s="703">
        <f t="shared" si="36"/>
        <v>0.45197972146347931</v>
      </c>
      <c r="J226" s="703">
        <f t="shared" ref="J226:J236" si="37">ROUND(AVERAGE(I224:I226),3)</f>
        <v>0.36199999999999999</v>
      </c>
      <c r="K226" s="704">
        <v>15285127</v>
      </c>
      <c r="L226" s="704">
        <f t="shared" ref="L226:L238" si="38">J226*K226</f>
        <v>5533215.9739999995</v>
      </c>
      <c r="M226" s="704">
        <v>0</v>
      </c>
      <c r="N226" s="704">
        <v>0</v>
      </c>
      <c r="O226" s="708">
        <f>L226+N226</f>
        <v>5533215.9739999995</v>
      </c>
    </row>
    <row r="227" spans="2:15" s="590" customFormat="1" ht="18" hidden="1" customHeight="1">
      <c r="B227" s="589"/>
      <c r="D227" s="707" t="s">
        <v>755</v>
      </c>
      <c r="E227" s="701">
        <v>830974</v>
      </c>
      <c r="F227" s="702">
        <v>1951032</v>
      </c>
      <c r="G227" s="702">
        <v>813263</v>
      </c>
      <c r="H227" s="702">
        <v>1233564</v>
      </c>
      <c r="I227" s="703">
        <f t="shared" si="36"/>
        <v>0.54286089456606024</v>
      </c>
      <c r="J227" s="703">
        <f t="shared" si="37"/>
        <v>0.439</v>
      </c>
      <c r="K227" s="704">
        <v>12765625</v>
      </c>
      <c r="L227" s="704">
        <f t="shared" si="38"/>
        <v>5604109.375</v>
      </c>
      <c r="M227" s="704">
        <v>2200000</v>
      </c>
      <c r="N227" s="704">
        <v>0</v>
      </c>
      <c r="O227" s="708">
        <f>SUM(L227:N227)</f>
        <v>7804109.375</v>
      </c>
    </row>
    <row r="228" spans="2:15" s="590" customFormat="1" ht="18" hidden="1" customHeight="1">
      <c r="B228" s="589"/>
      <c r="D228" s="707" t="s">
        <v>756</v>
      </c>
      <c r="E228" s="701">
        <v>848644</v>
      </c>
      <c r="F228" s="702">
        <v>1257073</v>
      </c>
      <c r="G228" s="702">
        <v>763659</v>
      </c>
      <c r="H228" s="702">
        <v>284124</v>
      </c>
      <c r="I228" s="703">
        <f t="shared" si="36"/>
        <v>0.4886790801378319</v>
      </c>
      <c r="J228" s="703">
        <f t="shared" si="37"/>
        <v>0.495</v>
      </c>
      <c r="K228" s="704">
        <v>19218235</v>
      </c>
      <c r="L228" s="704">
        <f t="shared" si="38"/>
        <v>9513026.3249999993</v>
      </c>
      <c r="M228" s="704">
        <v>2200000</v>
      </c>
      <c r="N228" s="704">
        <v>0</v>
      </c>
      <c r="O228" s="708">
        <f>SUM(L228:N228)</f>
        <v>11713026.324999999</v>
      </c>
    </row>
    <row r="229" spans="2:15" s="590" customFormat="1" ht="18" customHeight="1">
      <c r="B229" s="589"/>
      <c r="D229" s="707" t="s">
        <v>824</v>
      </c>
      <c r="E229" s="701">
        <v>859902</v>
      </c>
      <c r="F229" s="702">
        <v>977058</v>
      </c>
      <c r="G229" s="702">
        <v>721680</v>
      </c>
      <c r="H229" s="702">
        <v>139100</v>
      </c>
      <c r="I229" s="703">
        <f t="shared" si="36"/>
        <v>0.55134717158725299</v>
      </c>
      <c r="J229" s="703">
        <f t="shared" si="37"/>
        <v>0.52800000000000002</v>
      </c>
      <c r="K229" s="704">
        <v>17323537</v>
      </c>
      <c r="L229" s="704">
        <f t="shared" si="38"/>
        <v>9146827.5360000003</v>
      </c>
      <c r="M229" s="704">
        <v>2200000</v>
      </c>
      <c r="N229" s="704">
        <v>0</v>
      </c>
      <c r="O229" s="708">
        <f>SUM(L229:N229)</f>
        <v>11346827.536</v>
      </c>
    </row>
    <row r="230" spans="2:15" s="590" customFormat="1" ht="18" customHeight="1">
      <c r="B230" s="589"/>
      <c r="D230" s="707" t="s">
        <v>757</v>
      </c>
      <c r="E230" s="701">
        <v>825166</v>
      </c>
      <c r="F230" s="702">
        <v>778119</v>
      </c>
      <c r="G230" s="702">
        <v>697785</v>
      </c>
      <c r="H230" s="702">
        <v>248627</v>
      </c>
      <c r="I230" s="703">
        <f t="shared" si="36"/>
        <v>0.67235514068951019</v>
      </c>
      <c r="J230" s="703">
        <f t="shared" si="37"/>
        <v>0.57099999999999995</v>
      </c>
      <c r="K230" s="704">
        <v>14096872</v>
      </c>
      <c r="L230" s="704">
        <f t="shared" si="38"/>
        <v>8049313.9119999995</v>
      </c>
      <c r="M230" s="704">
        <v>0</v>
      </c>
      <c r="N230" s="704">
        <v>716391</v>
      </c>
      <c r="O230" s="708">
        <f>SUM(L230:N230)</f>
        <v>8765704.9120000005</v>
      </c>
    </row>
    <row r="231" spans="2:15" s="590" customFormat="1" ht="18" customHeight="1">
      <c r="B231" s="589"/>
      <c r="D231" s="707" t="s">
        <v>758</v>
      </c>
      <c r="E231" s="701">
        <v>833513</v>
      </c>
      <c r="F231" s="702">
        <v>1074008</v>
      </c>
      <c r="G231" s="702">
        <v>798320</v>
      </c>
      <c r="H231" s="702">
        <v>356789</v>
      </c>
      <c r="I231" s="703">
        <f t="shared" si="36"/>
        <v>0.54997792864452844</v>
      </c>
      <c r="J231" s="703">
        <f t="shared" si="37"/>
        <v>0.59099999999999997</v>
      </c>
      <c r="K231" s="704">
        <v>13230069</v>
      </c>
      <c r="L231" s="704">
        <f t="shared" si="38"/>
        <v>7818970.7789999992</v>
      </c>
      <c r="M231" s="704">
        <v>0</v>
      </c>
      <c r="N231" s="704">
        <v>688635</v>
      </c>
      <c r="O231" s="708">
        <f>SUM(L231:N231)</f>
        <v>8507605.7789999992</v>
      </c>
    </row>
    <row r="232" spans="2:15" s="590" customFormat="1" ht="18" customHeight="1">
      <c r="B232" s="589"/>
      <c r="D232" s="707" t="s">
        <v>759</v>
      </c>
      <c r="E232" s="701">
        <v>859913</v>
      </c>
      <c r="F232" s="702">
        <v>664397</v>
      </c>
      <c r="G232" s="702">
        <v>903453</v>
      </c>
      <c r="H232" s="702">
        <v>169132</v>
      </c>
      <c r="I232" s="703">
        <f t="shared" si="36"/>
        <v>0.61478654024613966</v>
      </c>
      <c r="J232" s="703">
        <f t="shared" si="37"/>
        <v>0.61199999999999999</v>
      </c>
      <c r="K232" s="704">
        <v>12738185</v>
      </c>
      <c r="L232" s="704">
        <f t="shared" si="38"/>
        <v>7795769.2199999997</v>
      </c>
      <c r="M232" s="704">
        <v>0</v>
      </c>
      <c r="N232" s="704">
        <v>660321</v>
      </c>
      <c r="O232" s="708">
        <f t="shared" ref="O232:O240" si="39">L232+N232</f>
        <v>8456090.2199999988</v>
      </c>
    </row>
    <row r="233" spans="2:15" s="590" customFormat="1" ht="18" customHeight="1">
      <c r="B233" s="589"/>
      <c r="D233" s="707" t="s">
        <v>760</v>
      </c>
      <c r="E233" s="701">
        <v>864374</v>
      </c>
      <c r="F233" s="702">
        <v>647783</v>
      </c>
      <c r="G233" s="702">
        <v>990436</v>
      </c>
      <c r="H233" s="702">
        <v>66500</v>
      </c>
      <c r="I233" s="703">
        <f t="shared" si="36"/>
        <v>0.5499545402199757</v>
      </c>
      <c r="J233" s="703">
        <f t="shared" si="37"/>
        <v>0.57199999999999995</v>
      </c>
      <c r="K233" s="704">
        <v>12929875</v>
      </c>
      <c r="L233" s="704">
        <f t="shared" si="38"/>
        <v>7395888.4999999991</v>
      </c>
      <c r="M233" s="704">
        <v>0</v>
      </c>
      <c r="N233" s="704">
        <v>631439</v>
      </c>
      <c r="O233" s="708">
        <f t="shared" si="39"/>
        <v>8027327.4999999991</v>
      </c>
    </row>
    <row r="234" spans="2:15" s="590" customFormat="1" ht="18" customHeight="1">
      <c r="B234" s="589"/>
      <c r="D234" s="707" t="s">
        <v>761</v>
      </c>
      <c r="E234" s="709">
        <v>873299</v>
      </c>
      <c r="F234" s="710">
        <v>623899</v>
      </c>
      <c r="G234" s="710">
        <v>902405</v>
      </c>
      <c r="H234" s="710">
        <v>181940</v>
      </c>
      <c r="I234" s="703">
        <f t="shared" si="36"/>
        <v>0.64960010830400094</v>
      </c>
      <c r="J234" s="703">
        <f t="shared" si="37"/>
        <v>0.60499999999999998</v>
      </c>
      <c r="K234" s="711">
        <v>12979469</v>
      </c>
      <c r="L234" s="704">
        <f t="shared" si="38"/>
        <v>7852578.7450000001</v>
      </c>
      <c r="M234" s="711">
        <v>0</v>
      </c>
      <c r="N234" s="711">
        <v>601975</v>
      </c>
      <c r="O234" s="708">
        <f t="shared" si="39"/>
        <v>8454553.745000001</v>
      </c>
    </row>
    <row r="235" spans="2:15" s="590" customFormat="1" ht="18" customHeight="1">
      <c r="B235" s="589"/>
      <c r="D235" s="707" t="s">
        <v>762</v>
      </c>
      <c r="E235" s="709">
        <v>876312</v>
      </c>
      <c r="F235" s="710">
        <v>755787</v>
      </c>
      <c r="G235" s="710">
        <v>914483</v>
      </c>
      <c r="H235" s="710">
        <v>251553</v>
      </c>
      <c r="I235" s="712">
        <f t="shared" si="36"/>
        <v>0.61767921297905082</v>
      </c>
      <c r="J235" s="703">
        <f t="shared" si="37"/>
        <v>0.60599999999999998</v>
      </c>
      <c r="K235" s="711">
        <v>12820994</v>
      </c>
      <c r="L235" s="711">
        <f t="shared" si="38"/>
        <v>7769522.3640000001</v>
      </c>
      <c r="M235" s="711">
        <v>0</v>
      </c>
      <c r="N235" s="711">
        <v>571919</v>
      </c>
      <c r="O235" s="708">
        <f t="shared" si="39"/>
        <v>8341441.3640000001</v>
      </c>
    </row>
    <row r="236" spans="2:15" s="590" customFormat="1" ht="18" customHeight="1">
      <c r="B236" s="589"/>
      <c r="D236" s="707" t="s">
        <v>763</v>
      </c>
      <c r="E236" s="709">
        <v>888481</v>
      </c>
      <c r="F236" s="710">
        <v>570582</v>
      </c>
      <c r="G236" s="710">
        <v>928436</v>
      </c>
      <c r="H236" s="710">
        <v>125940</v>
      </c>
      <c r="I236" s="712">
        <f t="shared" si="36"/>
        <v>0.64707248969104447</v>
      </c>
      <c r="J236" s="703">
        <f t="shared" si="37"/>
        <v>0.63800000000000001</v>
      </c>
      <c r="K236" s="711">
        <v>11268930</v>
      </c>
      <c r="L236" s="711">
        <f t="shared" si="38"/>
        <v>7189577.3399999999</v>
      </c>
      <c r="M236" s="711">
        <v>0</v>
      </c>
      <c r="N236" s="711">
        <v>541260</v>
      </c>
      <c r="O236" s="708">
        <f t="shared" si="39"/>
        <v>7730837.3399999999</v>
      </c>
    </row>
    <row r="237" spans="2:15" s="590" customFormat="1" ht="18" customHeight="1">
      <c r="B237" s="589"/>
      <c r="D237" s="713" t="s">
        <v>752</v>
      </c>
      <c r="E237" s="709">
        <v>895171</v>
      </c>
      <c r="F237" s="710">
        <v>547322</v>
      </c>
      <c r="G237" s="710">
        <v>907043</v>
      </c>
      <c r="H237" s="710">
        <v>158700</v>
      </c>
      <c r="I237" s="712">
        <f t="shared" si="36"/>
        <v>0.69089695253016792</v>
      </c>
      <c r="J237" s="703">
        <f t="shared" ref="J237:J242" si="40">ROUND(AVERAGE(I235:I237),3)</f>
        <v>0.65200000000000002</v>
      </c>
      <c r="K237" s="711">
        <v>10085563</v>
      </c>
      <c r="L237" s="711">
        <f t="shared" si="38"/>
        <v>6575787.0760000004</v>
      </c>
      <c r="M237" s="711">
        <v>0</v>
      </c>
      <c r="N237" s="711">
        <v>509984</v>
      </c>
      <c r="O237" s="714">
        <f t="shared" si="39"/>
        <v>7085771.0760000004</v>
      </c>
    </row>
    <row r="238" spans="2:15" s="590" customFormat="1" ht="18" customHeight="1">
      <c r="B238" s="589"/>
      <c r="D238" s="602" t="s">
        <v>771</v>
      </c>
      <c r="E238" s="709">
        <v>907053</v>
      </c>
      <c r="F238" s="710">
        <v>395938</v>
      </c>
      <c r="G238" s="710">
        <v>929141</v>
      </c>
      <c r="H238" s="710">
        <v>117400</v>
      </c>
      <c r="I238" s="712">
        <f t="shared" si="36"/>
        <v>0.75107126976622096</v>
      </c>
      <c r="J238" s="703">
        <f t="shared" si="40"/>
        <v>0.69599999999999995</v>
      </c>
      <c r="K238" s="711">
        <v>9692977</v>
      </c>
      <c r="L238" s="711">
        <f t="shared" si="38"/>
        <v>6746311.9919999996</v>
      </c>
      <c r="M238" s="711">
        <v>0</v>
      </c>
      <c r="N238" s="711">
        <v>478079</v>
      </c>
      <c r="O238" s="714">
        <f t="shared" si="39"/>
        <v>7224390.9919999996</v>
      </c>
    </row>
    <row r="239" spans="2:15" s="590" customFormat="1" ht="18" customHeight="1">
      <c r="B239" s="589"/>
      <c r="D239" s="602" t="s">
        <v>778</v>
      </c>
      <c r="E239" s="709">
        <v>901697</v>
      </c>
      <c r="F239" s="710">
        <v>487436</v>
      </c>
      <c r="G239" s="710">
        <v>815571</v>
      </c>
      <c r="H239" s="710">
        <v>13600</v>
      </c>
      <c r="I239" s="712">
        <f>E239/(F239+G239-H239)</f>
        <v>0.69931138887876365</v>
      </c>
      <c r="J239" s="703">
        <f t="shared" si="40"/>
        <v>0.71399999999999997</v>
      </c>
      <c r="K239" s="711">
        <v>9254160</v>
      </c>
      <c r="L239" s="711">
        <f>J239*K239</f>
        <v>6607470.2399999993</v>
      </c>
      <c r="M239" s="711">
        <v>0</v>
      </c>
      <c r="N239" s="711">
        <v>445533</v>
      </c>
      <c r="O239" s="714">
        <f t="shared" si="39"/>
        <v>7053003.2399999993</v>
      </c>
    </row>
    <row r="240" spans="2:15" s="590" customFormat="1" ht="18" customHeight="1">
      <c r="B240" s="589"/>
      <c r="D240" s="602" t="s">
        <v>790</v>
      </c>
      <c r="E240" s="709">
        <v>908973</v>
      </c>
      <c r="F240" s="710">
        <v>488038</v>
      </c>
      <c r="G240" s="710">
        <v>787239</v>
      </c>
      <c r="H240" s="710">
        <v>15650</v>
      </c>
      <c r="I240" s="712">
        <f>E240/(F240+G240-H240)</f>
        <v>0.72162076551233023</v>
      </c>
      <c r="J240" s="703">
        <f t="shared" si="40"/>
        <v>0.72399999999999998</v>
      </c>
      <c r="K240" s="711">
        <v>8297760</v>
      </c>
      <c r="L240" s="711">
        <f>J240*K240</f>
        <v>6007578.2400000002</v>
      </c>
      <c r="M240" s="711">
        <v>0</v>
      </c>
      <c r="N240" s="711">
        <v>412333</v>
      </c>
      <c r="O240" s="714">
        <f t="shared" si="39"/>
        <v>6419911.2400000002</v>
      </c>
    </row>
    <row r="241" spans="2:15" s="590" customFormat="1" ht="18" customHeight="1">
      <c r="B241" s="589"/>
      <c r="D241" s="602" t="s">
        <v>797</v>
      </c>
      <c r="E241" s="709">
        <v>912964</v>
      </c>
      <c r="F241" s="710">
        <v>618707</v>
      </c>
      <c r="G241" s="710">
        <v>760815</v>
      </c>
      <c r="H241" s="710">
        <v>28478</v>
      </c>
      <c r="I241" s="712">
        <f>E241/(F241+G241-H241)</f>
        <v>0.67574705190948625</v>
      </c>
      <c r="J241" s="703">
        <f t="shared" si="40"/>
        <v>0.69899999999999995</v>
      </c>
      <c r="K241" s="711">
        <v>7848192</v>
      </c>
      <c r="L241" s="711">
        <f>J241*K241</f>
        <v>5485886.2079999996</v>
      </c>
      <c r="M241" s="711">
        <v>0</v>
      </c>
      <c r="N241" s="711">
        <v>378466</v>
      </c>
      <c r="O241" s="714">
        <f>L241+N241</f>
        <v>5864352.2079999996</v>
      </c>
    </row>
    <row r="242" spans="2:15" s="590" customFormat="1" ht="18" customHeight="1">
      <c r="B242" s="589"/>
      <c r="D242" s="602" t="s">
        <v>840</v>
      </c>
      <c r="E242" s="709">
        <v>915909</v>
      </c>
      <c r="F242" s="710">
        <v>623224</v>
      </c>
      <c r="G242" s="710">
        <v>741673</v>
      </c>
      <c r="H242" s="710">
        <v>31945</v>
      </c>
      <c r="I242" s="712">
        <f>E242/(F242+G242-H242)</f>
        <v>0.68712826868484389</v>
      </c>
      <c r="J242" s="703">
        <f t="shared" si="40"/>
        <v>0.69499999999999995</v>
      </c>
      <c r="K242" s="711">
        <v>7841823</v>
      </c>
      <c r="L242" s="711">
        <f>J242*K242</f>
        <v>5450066.9849999994</v>
      </c>
      <c r="M242" s="711">
        <v>0</v>
      </c>
      <c r="N242" s="711">
        <v>343918</v>
      </c>
      <c r="O242" s="714">
        <f>L242+N242</f>
        <v>5793984.9849999994</v>
      </c>
    </row>
    <row r="243" spans="2:15" s="590" customFormat="1" ht="18" customHeight="1" thickBot="1">
      <c r="B243" s="589"/>
      <c r="D243" s="715" t="s">
        <v>350</v>
      </c>
      <c r="E243" s="716">
        <f>E242-E241</f>
        <v>2945</v>
      </c>
      <c r="F243" s="717">
        <f t="shared" ref="F243:O243" si="41">F242-F241</f>
        <v>4517</v>
      </c>
      <c r="G243" s="717">
        <f t="shared" si="41"/>
        <v>-19142</v>
      </c>
      <c r="H243" s="717">
        <f t="shared" si="41"/>
        <v>3467</v>
      </c>
      <c r="I243" s="717">
        <f t="shared" si="41"/>
        <v>1.1381216775357639E-2</v>
      </c>
      <c r="J243" s="717">
        <f t="shared" si="41"/>
        <v>-4.0000000000000036E-3</v>
      </c>
      <c r="K243" s="717">
        <f t="shared" si="41"/>
        <v>-6369</v>
      </c>
      <c r="L243" s="717">
        <f t="shared" si="41"/>
        <v>-35819.223000000231</v>
      </c>
      <c r="M243" s="717">
        <f t="shared" si="41"/>
        <v>0</v>
      </c>
      <c r="N243" s="717">
        <f t="shared" si="41"/>
        <v>-34548</v>
      </c>
      <c r="O243" s="717">
        <f t="shared" si="41"/>
        <v>-70367.223000000231</v>
      </c>
    </row>
    <row r="244" spans="2:15" ht="7.5" customHeight="1">
      <c r="I244" s="461"/>
    </row>
    <row r="245" spans="2:15" ht="18.75" hidden="1" customHeight="1">
      <c r="D245" s="460" t="s">
        <v>97</v>
      </c>
    </row>
    <row r="246" spans="2:15" ht="18.75" hidden="1" customHeight="1">
      <c r="D246" s="460" t="s">
        <v>98</v>
      </c>
    </row>
    <row r="247" spans="2:15" ht="18.75" hidden="1" customHeight="1">
      <c r="D247" s="460" t="s">
        <v>99</v>
      </c>
    </row>
    <row r="248" spans="2:15" ht="18.75" hidden="1" customHeight="1"/>
    <row r="249" spans="2:15" s="590" customFormat="1" ht="19.5" customHeight="1" thickBot="1">
      <c r="B249" s="589"/>
      <c r="C249" s="604" t="s">
        <v>56</v>
      </c>
      <c r="D249" s="590" t="s">
        <v>389</v>
      </c>
      <c r="E249" s="589"/>
      <c r="F249" s="605"/>
      <c r="G249" s="605"/>
      <c r="H249" s="605"/>
    </row>
    <row r="250" spans="2:15" s="590" customFormat="1" ht="21" customHeight="1">
      <c r="B250" s="589"/>
      <c r="D250" s="606"/>
      <c r="E250" s="607" t="s">
        <v>390</v>
      </c>
      <c r="F250" s="608" t="s">
        <v>313</v>
      </c>
      <c r="G250" s="608" t="s">
        <v>314</v>
      </c>
      <c r="H250" s="609" t="s">
        <v>315</v>
      </c>
      <c r="I250" s="609" t="s">
        <v>316</v>
      </c>
      <c r="J250" s="609" t="s">
        <v>317</v>
      </c>
      <c r="K250" s="609" t="s">
        <v>320</v>
      </c>
      <c r="L250" s="779" t="s">
        <v>845</v>
      </c>
      <c r="M250" s="608" t="s">
        <v>322</v>
      </c>
      <c r="N250" s="610" t="s">
        <v>323</v>
      </c>
    </row>
    <row r="251" spans="2:15" s="590" customFormat="1" ht="18" hidden="1" customHeight="1">
      <c r="B251" s="589"/>
      <c r="D251" s="591" t="s">
        <v>754</v>
      </c>
      <c r="E251" s="592">
        <v>1201780</v>
      </c>
      <c r="F251" s="593">
        <v>47533</v>
      </c>
      <c r="G251" s="593">
        <v>4265170</v>
      </c>
      <c r="H251" s="593">
        <v>238432</v>
      </c>
      <c r="I251" s="611">
        <v>448846</v>
      </c>
      <c r="J251" s="611">
        <v>396906</v>
      </c>
      <c r="K251" s="611">
        <v>91310</v>
      </c>
      <c r="L251" s="611">
        <v>91310</v>
      </c>
      <c r="M251" s="611">
        <v>1126475</v>
      </c>
      <c r="N251" s="612">
        <v>5272</v>
      </c>
    </row>
    <row r="252" spans="2:15" s="590" customFormat="1" ht="18" hidden="1" customHeight="1">
      <c r="B252" s="589"/>
      <c r="D252" s="591" t="s">
        <v>755</v>
      </c>
      <c r="E252" s="592">
        <v>1203849</v>
      </c>
      <c r="F252" s="593">
        <v>43853</v>
      </c>
      <c r="G252" s="593">
        <v>4222709</v>
      </c>
      <c r="H252" s="593">
        <v>229785</v>
      </c>
      <c r="I252" s="611">
        <v>428001</v>
      </c>
      <c r="J252" s="611">
        <v>310828</v>
      </c>
      <c r="K252" s="611">
        <v>87069</v>
      </c>
      <c r="L252" s="611">
        <v>87069</v>
      </c>
      <c r="M252" s="611">
        <v>935740</v>
      </c>
      <c r="N252" s="612">
        <v>5678</v>
      </c>
    </row>
    <row r="253" spans="2:15" s="590" customFormat="1" ht="18" hidden="1" customHeight="1">
      <c r="B253" s="589"/>
      <c r="D253" s="591" t="s">
        <v>756</v>
      </c>
      <c r="E253" s="592">
        <v>1134188</v>
      </c>
      <c r="F253" s="593">
        <v>40103</v>
      </c>
      <c r="G253" s="593">
        <v>4185955</v>
      </c>
      <c r="H253" s="593">
        <v>204257</v>
      </c>
      <c r="I253" s="611">
        <v>404791</v>
      </c>
      <c r="J253" s="611">
        <v>224944</v>
      </c>
      <c r="K253" s="611">
        <v>94768</v>
      </c>
      <c r="L253" s="611">
        <v>94768</v>
      </c>
      <c r="M253" s="611">
        <v>741171</v>
      </c>
      <c r="N253" s="612">
        <v>4399</v>
      </c>
    </row>
    <row r="254" spans="2:15" s="590" customFormat="1" ht="18" customHeight="1">
      <c r="B254" s="589"/>
      <c r="D254" s="591" t="s">
        <v>824</v>
      </c>
      <c r="E254" s="592">
        <v>1069475</v>
      </c>
      <c r="F254" s="593">
        <v>36315</v>
      </c>
      <c r="G254" s="593">
        <v>4138589</v>
      </c>
      <c r="H254" s="593">
        <v>176240</v>
      </c>
      <c r="I254" s="611">
        <v>483660</v>
      </c>
      <c r="J254" s="611">
        <v>189867</v>
      </c>
      <c r="K254" s="611">
        <v>108998</v>
      </c>
      <c r="L254" s="640"/>
      <c r="M254" s="611">
        <v>542692</v>
      </c>
      <c r="N254" s="612">
        <v>3072</v>
      </c>
    </row>
    <row r="255" spans="2:15" s="590" customFormat="1" ht="18" customHeight="1">
      <c r="B255" s="589"/>
      <c r="D255" s="591" t="s">
        <v>757</v>
      </c>
      <c r="E255" s="592">
        <v>984329</v>
      </c>
      <c r="F255" s="593">
        <v>32469</v>
      </c>
      <c r="G255" s="593">
        <v>4116684</v>
      </c>
      <c r="H255" s="593">
        <v>146540</v>
      </c>
      <c r="I255" s="611">
        <v>452721</v>
      </c>
      <c r="J255" s="611">
        <v>163272</v>
      </c>
      <c r="K255" s="611">
        <v>799872</v>
      </c>
      <c r="L255" s="640"/>
      <c r="M255" s="611">
        <v>340223</v>
      </c>
      <c r="N255" s="612">
        <v>1692</v>
      </c>
    </row>
    <row r="256" spans="2:15" s="590" customFormat="1" ht="18" customHeight="1">
      <c r="B256" s="589"/>
      <c r="D256" s="591" t="s">
        <v>758</v>
      </c>
      <c r="E256" s="592">
        <v>845712</v>
      </c>
      <c r="F256" s="593">
        <v>28570</v>
      </c>
      <c r="G256" s="593">
        <v>4096770</v>
      </c>
      <c r="H256" s="593">
        <v>118951</v>
      </c>
      <c r="I256" s="593">
        <v>421068</v>
      </c>
      <c r="J256" s="593">
        <v>135634</v>
      </c>
      <c r="K256" s="611">
        <v>1271828</v>
      </c>
      <c r="L256" s="640"/>
      <c r="M256" s="611">
        <v>186270</v>
      </c>
      <c r="N256" s="612">
        <v>261</v>
      </c>
    </row>
    <row r="257" spans="2:14" s="590" customFormat="1" ht="18" customHeight="1">
      <c r="B257" s="589"/>
      <c r="D257" s="591" t="s">
        <v>759</v>
      </c>
      <c r="E257" s="592">
        <v>700555</v>
      </c>
      <c r="F257" s="593">
        <v>24528</v>
      </c>
      <c r="G257" s="593">
        <v>4088569</v>
      </c>
      <c r="H257" s="593">
        <v>93763</v>
      </c>
      <c r="I257" s="593">
        <v>389906</v>
      </c>
      <c r="J257" s="593">
        <v>106703</v>
      </c>
      <c r="K257" s="611">
        <v>2051995</v>
      </c>
      <c r="L257" s="640"/>
      <c r="M257" s="611">
        <v>155520</v>
      </c>
      <c r="N257" s="612">
        <v>166</v>
      </c>
    </row>
    <row r="258" spans="2:14" s="590" customFormat="1" ht="18" customHeight="1">
      <c r="B258" s="589"/>
      <c r="D258" s="591" t="s">
        <v>760</v>
      </c>
      <c r="E258" s="592">
        <v>567941</v>
      </c>
      <c r="F258" s="593">
        <v>20528</v>
      </c>
      <c r="G258" s="593">
        <v>4013482</v>
      </c>
      <c r="H258" s="593">
        <v>70235</v>
      </c>
      <c r="I258" s="593">
        <v>355151</v>
      </c>
      <c r="J258" s="593">
        <v>81486</v>
      </c>
      <c r="K258" s="611">
        <v>1975975</v>
      </c>
      <c r="L258" s="640"/>
      <c r="M258" s="611">
        <v>403800</v>
      </c>
      <c r="N258" s="612">
        <v>68</v>
      </c>
    </row>
    <row r="259" spans="2:14" s="590" customFormat="1" ht="18" customHeight="1">
      <c r="B259" s="589"/>
      <c r="D259" s="591" t="s">
        <v>761</v>
      </c>
      <c r="E259" s="596">
        <v>465513</v>
      </c>
      <c r="F259" s="597">
        <v>16451</v>
      </c>
      <c r="G259" s="597">
        <v>3970892</v>
      </c>
      <c r="H259" s="597">
        <v>53759</v>
      </c>
      <c r="I259" s="597">
        <v>319854</v>
      </c>
      <c r="J259" s="597">
        <v>61577</v>
      </c>
      <c r="K259" s="613">
        <v>2118789</v>
      </c>
      <c r="L259" s="638"/>
      <c r="M259" s="613">
        <v>403800</v>
      </c>
      <c r="N259" s="614">
        <v>0</v>
      </c>
    </row>
    <row r="260" spans="2:14" s="590" customFormat="1" ht="18" customHeight="1">
      <c r="B260" s="589"/>
      <c r="D260" s="591" t="s">
        <v>762</v>
      </c>
      <c r="E260" s="596">
        <v>378255</v>
      </c>
      <c r="F260" s="597">
        <v>12283</v>
      </c>
      <c r="G260" s="597">
        <v>3879286</v>
      </c>
      <c r="H260" s="597">
        <v>45935</v>
      </c>
      <c r="I260" s="597">
        <v>286181</v>
      </c>
      <c r="J260" s="597">
        <v>48968</v>
      </c>
      <c r="K260" s="613">
        <v>1991122</v>
      </c>
      <c r="L260" s="638"/>
      <c r="M260" s="613">
        <v>401262</v>
      </c>
      <c r="N260" s="614">
        <v>0</v>
      </c>
    </row>
    <row r="261" spans="2:14" s="590" customFormat="1" ht="18" customHeight="1">
      <c r="B261" s="589"/>
      <c r="D261" s="591" t="s">
        <v>763</v>
      </c>
      <c r="E261" s="596">
        <v>296076</v>
      </c>
      <c r="F261" s="597">
        <v>7996</v>
      </c>
      <c r="G261" s="597">
        <v>3873615</v>
      </c>
      <c r="H261" s="597">
        <v>38001</v>
      </c>
      <c r="I261" s="597">
        <v>251960</v>
      </c>
      <c r="J261" s="597">
        <v>40427</v>
      </c>
      <c r="K261" s="613">
        <v>1883478</v>
      </c>
      <c r="L261" s="638"/>
      <c r="M261" s="613">
        <v>369790</v>
      </c>
      <c r="N261" s="614">
        <v>0</v>
      </c>
    </row>
    <row r="262" spans="2:14" s="590" customFormat="1" ht="18" customHeight="1">
      <c r="B262" s="589"/>
      <c r="D262" s="602" t="s">
        <v>752</v>
      </c>
      <c r="E262" s="596">
        <v>220447</v>
      </c>
      <c r="F262" s="597">
        <v>4854</v>
      </c>
      <c r="G262" s="597">
        <v>3840626</v>
      </c>
      <c r="H262" s="597">
        <v>30010</v>
      </c>
      <c r="I262" s="597">
        <v>220894</v>
      </c>
      <c r="J262" s="597">
        <v>31697</v>
      </c>
      <c r="K262" s="613">
        <v>1777900</v>
      </c>
      <c r="L262" s="638"/>
      <c r="M262" s="613">
        <v>338020</v>
      </c>
      <c r="N262" s="614">
        <v>0</v>
      </c>
    </row>
    <row r="263" spans="2:14" s="590" customFormat="1" ht="18" customHeight="1">
      <c r="B263" s="589"/>
      <c r="D263" s="602" t="s">
        <v>771</v>
      </c>
      <c r="E263" s="596">
        <v>159901</v>
      </c>
      <c r="F263" s="597">
        <v>2100</v>
      </c>
      <c r="G263" s="597">
        <v>3800698</v>
      </c>
      <c r="H263" s="597">
        <v>24007</v>
      </c>
      <c r="I263" s="597">
        <v>196679</v>
      </c>
      <c r="J263" s="597">
        <v>28660</v>
      </c>
      <c r="K263" s="613">
        <v>1738674</v>
      </c>
      <c r="L263" s="638"/>
      <c r="M263" s="613">
        <v>331468</v>
      </c>
      <c r="N263" s="614">
        <v>0</v>
      </c>
    </row>
    <row r="264" spans="2:14" s="590" customFormat="1" ht="18" customHeight="1">
      <c r="B264" s="589"/>
      <c r="D264" s="602" t="s">
        <v>778</v>
      </c>
      <c r="E264" s="596">
        <v>120582</v>
      </c>
      <c r="F264" s="597">
        <v>474</v>
      </c>
      <c r="G264" s="597">
        <v>3706610</v>
      </c>
      <c r="H264" s="597">
        <v>19755</v>
      </c>
      <c r="I264" s="597">
        <v>173322</v>
      </c>
      <c r="J264" s="597">
        <v>25813</v>
      </c>
      <c r="K264" s="613">
        <v>1713324</v>
      </c>
      <c r="L264" s="638"/>
      <c r="M264" s="613">
        <v>299980</v>
      </c>
      <c r="N264" s="614">
        <v>0</v>
      </c>
    </row>
    <row r="265" spans="2:14" s="590" customFormat="1" ht="18" customHeight="1">
      <c r="B265" s="589"/>
      <c r="D265" s="602" t="s">
        <v>790</v>
      </c>
      <c r="E265" s="596">
        <v>98052</v>
      </c>
      <c r="F265" s="596">
        <v>120</v>
      </c>
      <c r="G265" s="596">
        <v>3689329</v>
      </c>
      <c r="H265" s="596">
        <v>15690</v>
      </c>
      <c r="I265" s="596">
        <v>153186</v>
      </c>
      <c r="J265" s="596">
        <v>22776</v>
      </c>
      <c r="K265" s="615">
        <v>1903875</v>
      </c>
      <c r="L265" s="638"/>
      <c r="M265" s="615">
        <v>267985</v>
      </c>
      <c r="N265" s="614">
        <v>0</v>
      </c>
    </row>
    <row r="266" spans="2:14" s="590" customFormat="1" ht="18" customHeight="1">
      <c r="B266" s="589"/>
      <c r="D266" s="602" t="s">
        <v>797</v>
      </c>
      <c r="E266" s="596">
        <v>83653</v>
      </c>
      <c r="F266" s="596">
        <v>0</v>
      </c>
      <c r="G266" s="596">
        <v>3548494</v>
      </c>
      <c r="H266" s="596">
        <v>13101</v>
      </c>
      <c r="I266" s="596">
        <v>138399</v>
      </c>
      <c r="J266" s="596">
        <v>19739</v>
      </c>
      <c r="K266" s="615">
        <v>1960929</v>
      </c>
      <c r="L266" s="640"/>
      <c r="M266" s="615">
        <v>239040</v>
      </c>
      <c r="N266" s="614">
        <v>7903</v>
      </c>
    </row>
    <row r="267" spans="2:14" s="590" customFormat="1" ht="18" customHeight="1">
      <c r="B267" s="589"/>
      <c r="D267" s="602" t="s">
        <v>840</v>
      </c>
      <c r="E267" s="596">
        <v>70463</v>
      </c>
      <c r="F267" s="596">
        <v>0</v>
      </c>
      <c r="G267" s="596">
        <v>3514155</v>
      </c>
      <c r="H267" s="596">
        <v>10717</v>
      </c>
      <c r="I267" s="596">
        <v>120564</v>
      </c>
      <c r="J267" s="596">
        <v>16513</v>
      </c>
      <c r="K267" s="615">
        <v>1894327</v>
      </c>
      <c r="L267" s="615">
        <v>148500</v>
      </c>
      <c r="M267" s="615">
        <v>298660</v>
      </c>
      <c r="N267" s="612">
        <v>12432</v>
      </c>
    </row>
    <row r="268" spans="2:14" s="590" customFormat="1" ht="18" customHeight="1" thickBot="1">
      <c r="B268" s="589"/>
      <c r="D268" s="616" t="s">
        <v>350</v>
      </c>
      <c r="E268" s="617">
        <f>E267-E266</f>
        <v>-13190</v>
      </c>
      <c r="F268" s="617">
        <f t="shared" ref="F268:N268" si="42">F267-F266</f>
        <v>0</v>
      </c>
      <c r="G268" s="617">
        <f t="shared" si="42"/>
        <v>-34339</v>
      </c>
      <c r="H268" s="617">
        <f t="shared" si="42"/>
        <v>-2384</v>
      </c>
      <c r="I268" s="617">
        <f t="shared" si="42"/>
        <v>-17835</v>
      </c>
      <c r="J268" s="617">
        <f t="shared" si="42"/>
        <v>-3226</v>
      </c>
      <c r="K268" s="617">
        <f t="shared" si="42"/>
        <v>-66602</v>
      </c>
      <c r="L268" s="617">
        <f t="shared" ref="L268" si="43">L267-L266</f>
        <v>148500</v>
      </c>
      <c r="M268" s="617">
        <f t="shared" si="42"/>
        <v>59620</v>
      </c>
      <c r="N268" s="617">
        <f t="shared" si="42"/>
        <v>4529</v>
      </c>
    </row>
    <row r="269" spans="2:14" s="590" customFormat="1" ht="10.5" customHeight="1" thickBot="1">
      <c r="B269" s="589"/>
      <c r="E269" s="589"/>
      <c r="F269" s="605"/>
      <c r="G269" s="605"/>
      <c r="H269" s="605"/>
    </row>
    <row r="270" spans="2:14" s="590" customFormat="1" ht="21" customHeight="1">
      <c r="B270" s="589"/>
      <c r="D270" s="606"/>
      <c r="E270" s="618" t="s">
        <v>325</v>
      </c>
      <c r="F270" s="619" t="s">
        <v>326</v>
      </c>
      <c r="G270" s="620" t="s">
        <v>132</v>
      </c>
      <c r="I270" s="622"/>
      <c r="J270" s="622"/>
      <c r="K270" s="622"/>
      <c r="L270" s="623"/>
      <c r="M270" s="622"/>
      <c r="N270" s="622"/>
    </row>
    <row r="271" spans="2:14" s="590" customFormat="1" ht="18.75" hidden="1" customHeight="1">
      <c r="B271" s="589"/>
      <c r="D271" s="591" t="s">
        <v>754</v>
      </c>
      <c r="E271" s="592">
        <v>740601</v>
      </c>
      <c r="F271" s="594">
        <v>26733434</v>
      </c>
      <c r="G271" s="624">
        <f t="shared" ref="G271:G287" si="44">SUM(E251:N251,E271:F271)</f>
        <v>35387069</v>
      </c>
      <c r="I271" s="625"/>
      <c r="J271" s="625"/>
      <c r="K271" s="625"/>
      <c r="L271" s="625"/>
      <c r="M271" s="625"/>
      <c r="N271" s="625"/>
    </row>
    <row r="272" spans="2:14" s="590" customFormat="1" ht="18.75" hidden="1" customHeight="1">
      <c r="B272" s="589"/>
      <c r="D272" s="591" t="s">
        <v>755</v>
      </c>
      <c r="E272" s="592">
        <v>666298</v>
      </c>
      <c r="F272" s="594">
        <v>27231358</v>
      </c>
      <c r="G272" s="624">
        <f t="shared" si="44"/>
        <v>35452237</v>
      </c>
      <c r="I272" s="625"/>
      <c r="J272" s="626"/>
      <c r="K272" s="625"/>
      <c r="L272" s="625"/>
      <c r="M272" s="625"/>
      <c r="N272" s="625"/>
    </row>
    <row r="273" spans="2:14" s="590" customFormat="1" ht="18.75" hidden="1" customHeight="1">
      <c r="B273" s="589"/>
      <c r="D273" s="591" t="s">
        <v>756</v>
      </c>
      <c r="E273" s="596">
        <v>591406</v>
      </c>
      <c r="F273" s="598">
        <v>29458209</v>
      </c>
      <c r="G273" s="624">
        <f t="shared" si="44"/>
        <v>37178959</v>
      </c>
      <c r="I273" s="625"/>
      <c r="J273" s="625"/>
      <c r="K273" s="625"/>
      <c r="L273" s="625"/>
      <c r="M273" s="625"/>
      <c r="N273" s="625"/>
    </row>
    <row r="274" spans="2:14" s="590" customFormat="1" ht="18.75" customHeight="1">
      <c r="B274" s="589"/>
      <c r="D274" s="591" t="s">
        <v>824</v>
      </c>
      <c r="E274" s="596">
        <v>542509</v>
      </c>
      <c r="F274" s="598">
        <v>30172826</v>
      </c>
      <c r="G274" s="624">
        <f t="shared" si="44"/>
        <v>37464243</v>
      </c>
      <c r="H274" s="621" t="s">
        <v>822</v>
      </c>
      <c r="I274" s="586"/>
      <c r="J274" s="586"/>
      <c r="K274" s="586"/>
      <c r="L274" s="625"/>
      <c r="M274" s="625"/>
      <c r="N274" s="625"/>
    </row>
    <row r="275" spans="2:14" s="590" customFormat="1" ht="18.75" customHeight="1">
      <c r="B275" s="589"/>
      <c r="D275" s="591" t="s">
        <v>757</v>
      </c>
      <c r="E275" s="596">
        <v>470716</v>
      </c>
      <c r="F275" s="598">
        <v>31826631</v>
      </c>
      <c r="G275" s="624">
        <f t="shared" si="44"/>
        <v>39335149</v>
      </c>
      <c r="H275" s="590" t="s">
        <v>852</v>
      </c>
      <c r="I275" s="586"/>
      <c r="J275" s="586"/>
      <c r="K275" s="586"/>
      <c r="L275" s="625"/>
      <c r="M275" s="625"/>
      <c r="N275" s="625"/>
    </row>
    <row r="276" spans="2:14" s="590" customFormat="1" ht="18.75" customHeight="1">
      <c r="B276" s="589"/>
      <c r="D276" s="591" t="s">
        <v>758</v>
      </c>
      <c r="E276" s="596">
        <v>383754</v>
      </c>
      <c r="F276" s="598">
        <v>32790682</v>
      </c>
      <c r="G276" s="624">
        <f t="shared" si="44"/>
        <v>40279500</v>
      </c>
      <c r="H276" s="621" t="s">
        <v>853</v>
      </c>
      <c r="I276" s="586"/>
      <c r="J276" s="586"/>
      <c r="K276" s="586"/>
      <c r="L276" s="625"/>
      <c r="M276" s="625"/>
      <c r="N276" s="625"/>
    </row>
    <row r="277" spans="2:14" s="590" customFormat="1" ht="18.75" customHeight="1">
      <c r="B277" s="589"/>
      <c r="D277" s="591" t="s">
        <v>759</v>
      </c>
      <c r="E277" s="596">
        <v>298837</v>
      </c>
      <c r="F277" s="598">
        <v>33861040</v>
      </c>
      <c r="G277" s="624">
        <f t="shared" si="44"/>
        <v>41771582</v>
      </c>
      <c r="H277" s="621" t="s">
        <v>823</v>
      </c>
      <c r="I277" s="460"/>
      <c r="J277" s="460"/>
      <c r="K277" s="460"/>
    </row>
    <row r="278" spans="2:14" s="590" customFormat="1" ht="18.75" customHeight="1">
      <c r="B278" s="589"/>
      <c r="D278" s="591" t="s">
        <v>760</v>
      </c>
      <c r="E278" s="596">
        <v>215374</v>
      </c>
      <c r="F278" s="598">
        <v>35529085</v>
      </c>
      <c r="G278" s="624">
        <f t="shared" si="44"/>
        <v>43233125</v>
      </c>
      <c r="H278" s="621" t="s">
        <v>854</v>
      </c>
      <c r="I278" s="460"/>
      <c r="J278" s="460"/>
      <c r="K278" s="460"/>
    </row>
    <row r="279" spans="2:14" s="590" customFormat="1" ht="18.75" customHeight="1">
      <c r="B279" s="589"/>
      <c r="D279" s="591" t="s">
        <v>761</v>
      </c>
      <c r="E279" s="596">
        <v>145605</v>
      </c>
      <c r="F279" s="599">
        <v>35879262</v>
      </c>
      <c r="G279" s="624">
        <f t="shared" si="44"/>
        <v>43435502</v>
      </c>
      <c r="H279" s="590" t="s">
        <v>855</v>
      </c>
      <c r="I279" s="586"/>
      <c r="J279" s="460"/>
      <c r="K279" s="460"/>
    </row>
    <row r="280" spans="2:14" s="590" customFormat="1" ht="18.75" customHeight="1">
      <c r="B280" s="589"/>
      <c r="D280" s="591" t="s">
        <v>762</v>
      </c>
      <c r="E280" s="596">
        <v>103775</v>
      </c>
      <c r="F280" s="599">
        <v>35037710</v>
      </c>
      <c r="G280" s="624">
        <f t="shared" si="44"/>
        <v>42184777</v>
      </c>
      <c r="H280" s="590" t="s">
        <v>856</v>
      </c>
      <c r="I280" s="586"/>
      <c r="J280" s="586"/>
      <c r="K280" s="586"/>
      <c r="L280" s="625"/>
      <c r="M280" s="625"/>
      <c r="N280" s="625"/>
    </row>
    <row r="281" spans="2:14" s="590" customFormat="1" ht="18.75" customHeight="1">
      <c r="B281" s="589"/>
      <c r="D281" s="591" t="s">
        <v>763</v>
      </c>
      <c r="E281" s="596">
        <v>68181</v>
      </c>
      <c r="F281" s="599">
        <v>35381399</v>
      </c>
      <c r="G281" s="624">
        <f t="shared" si="44"/>
        <v>42210923</v>
      </c>
      <c r="H281" s="590" t="s">
        <v>857</v>
      </c>
      <c r="I281" s="460"/>
      <c r="J281" s="586"/>
      <c r="K281" s="586"/>
      <c r="L281" s="625"/>
      <c r="M281" s="625"/>
      <c r="N281" s="625"/>
    </row>
    <row r="282" spans="2:14" s="590" customFormat="1" ht="18.75" customHeight="1">
      <c r="B282" s="589"/>
      <c r="D282" s="602" t="s">
        <v>752</v>
      </c>
      <c r="E282" s="596">
        <v>35263</v>
      </c>
      <c r="F282" s="599">
        <v>36251470</v>
      </c>
      <c r="G282" s="627">
        <f t="shared" si="44"/>
        <v>42751181</v>
      </c>
      <c r="H282" s="590" t="s">
        <v>859</v>
      </c>
      <c r="I282" s="586"/>
      <c r="J282" s="586"/>
      <c r="K282" s="586"/>
      <c r="L282" s="625"/>
      <c r="M282" s="625"/>
      <c r="N282" s="625"/>
    </row>
    <row r="283" spans="2:14" s="590" customFormat="1" ht="18.75" customHeight="1">
      <c r="B283" s="589"/>
      <c r="D283" s="602" t="s">
        <v>771</v>
      </c>
      <c r="E283" s="596">
        <v>28620</v>
      </c>
      <c r="F283" s="599">
        <v>38129365</v>
      </c>
      <c r="G283" s="627">
        <f t="shared" si="44"/>
        <v>44440172</v>
      </c>
      <c r="H283" s="590" t="s">
        <v>858</v>
      </c>
      <c r="I283" s="625"/>
      <c r="J283" s="625"/>
      <c r="K283" s="625"/>
      <c r="L283" s="625"/>
      <c r="M283" s="625"/>
      <c r="N283" s="625"/>
    </row>
    <row r="284" spans="2:14" s="590" customFormat="1" ht="18.75" customHeight="1">
      <c r="B284" s="589"/>
      <c r="D284" s="602" t="s">
        <v>778</v>
      </c>
      <c r="E284" s="596">
        <v>86238</v>
      </c>
      <c r="F284" s="599">
        <v>37798976</v>
      </c>
      <c r="G284" s="627">
        <f t="shared" si="44"/>
        <v>43945074</v>
      </c>
      <c r="H284" s="621" t="s">
        <v>860</v>
      </c>
      <c r="I284" s="586"/>
      <c r="J284" s="586"/>
      <c r="K284" s="586"/>
      <c r="L284" s="625"/>
      <c r="M284" s="625"/>
      <c r="N284" s="625"/>
    </row>
    <row r="285" spans="2:14" s="590" customFormat="1" ht="18.75" customHeight="1">
      <c r="B285" s="589"/>
      <c r="D285" s="602" t="s">
        <v>790</v>
      </c>
      <c r="E285" s="596">
        <v>240471</v>
      </c>
      <c r="F285" s="599">
        <v>37806767</v>
      </c>
      <c r="G285" s="627">
        <f t="shared" si="44"/>
        <v>44198251</v>
      </c>
      <c r="H285" s="590" t="s">
        <v>861</v>
      </c>
      <c r="I285" s="586"/>
      <c r="J285" s="586"/>
      <c r="K285" s="586"/>
      <c r="L285" s="625"/>
      <c r="M285" s="625"/>
      <c r="N285" s="625"/>
    </row>
    <row r="286" spans="2:14" s="590" customFormat="1" ht="18.75" customHeight="1">
      <c r="B286" s="589"/>
      <c r="D286" s="602" t="s">
        <v>797</v>
      </c>
      <c r="E286" s="596">
        <v>445990</v>
      </c>
      <c r="F286" s="599">
        <v>35133606</v>
      </c>
      <c r="G286" s="627">
        <f t="shared" si="44"/>
        <v>41590854</v>
      </c>
      <c r="H286" s="621" t="s">
        <v>862</v>
      </c>
      <c r="I286" s="586"/>
      <c r="J286" s="586"/>
      <c r="K286" s="586"/>
      <c r="L286" s="625"/>
      <c r="M286" s="625"/>
      <c r="N286" s="625"/>
    </row>
    <row r="287" spans="2:14" s="590" customFormat="1" ht="18.75" customHeight="1">
      <c r="B287" s="589"/>
      <c r="D287" s="602" t="s">
        <v>840</v>
      </c>
      <c r="E287" s="596">
        <v>464963</v>
      </c>
      <c r="F287" s="599">
        <v>32532332</v>
      </c>
      <c r="G287" s="627">
        <f t="shared" si="44"/>
        <v>39083626</v>
      </c>
      <c r="H287" s="621" t="s">
        <v>863</v>
      </c>
      <c r="I287" s="586"/>
      <c r="J287" s="586"/>
      <c r="K287" s="586"/>
      <c r="L287" s="625"/>
      <c r="M287" s="625"/>
      <c r="N287" s="625"/>
    </row>
    <row r="288" spans="2:14" s="590" customFormat="1" ht="18.75" customHeight="1" thickBot="1">
      <c r="B288" s="589"/>
      <c r="D288" s="616" t="s">
        <v>350</v>
      </c>
      <c r="E288" s="617">
        <f>E287-E286</f>
        <v>18973</v>
      </c>
      <c r="F288" s="617">
        <f>F287-F286</f>
        <v>-2601274</v>
      </c>
      <c r="G288" s="617">
        <f>G287-G286</f>
        <v>-2507228</v>
      </c>
      <c r="H288" s="590" t="s">
        <v>864</v>
      </c>
      <c r="I288" s="778"/>
      <c r="J288" s="778"/>
      <c r="K288" s="778"/>
      <c r="L288" s="628"/>
      <c r="M288" s="628"/>
      <c r="N288" s="628"/>
    </row>
    <row r="289" spans="2:14" s="590" customFormat="1" ht="18.75" customHeight="1">
      <c r="B289" s="589"/>
      <c r="D289" s="622"/>
      <c r="E289" s="628"/>
      <c r="F289" s="628"/>
      <c r="G289" s="758"/>
      <c r="H289" s="628" t="s">
        <v>866</v>
      </c>
      <c r="I289" s="778"/>
      <c r="J289" s="778"/>
      <c r="K289" s="778"/>
      <c r="L289" s="628"/>
      <c r="M289" s="628"/>
      <c r="N289" s="628"/>
    </row>
    <row r="290" spans="2:14" s="590" customFormat="1" ht="18.75" customHeight="1">
      <c r="B290" s="589"/>
      <c r="D290" s="622"/>
      <c r="E290" s="628"/>
      <c r="F290" s="628"/>
      <c r="G290" s="628"/>
      <c r="H290" s="590" t="s">
        <v>865</v>
      </c>
      <c r="I290" s="778"/>
      <c r="J290" s="778"/>
      <c r="K290" s="778"/>
      <c r="L290" s="628"/>
      <c r="M290" s="628"/>
      <c r="N290" s="628"/>
    </row>
    <row r="291" spans="2:14" s="590" customFormat="1" ht="18.75" customHeight="1">
      <c r="B291" s="589"/>
      <c r="D291" s="622"/>
      <c r="E291" s="628"/>
      <c r="F291" s="628"/>
      <c r="G291" s="628"/>
      <c r="H291" s="628" t="s">
        <v>867</v>
      </c>
      <c r="I291" s="778"/>
      <c r="J291" s="778"/>
      <c r="K291" s="778"/>
      <c r="L291" s="628"/>
      <c r="M291" s="628"/>
      <c r="N291" s="628"/>
    </row>
    <row r="292" spans="2:14" s="590" customFormat="1" ht="18.75" customHeight="1">
      <c r="B292" s="589"/>
      <c r="D292" s="622"/>
      <c r="E292" s="628"/>
      <c r="F292" s="628"/>
      <c r="G292" s="628"/>
      <c r="H292" s="590" t="s">
        <v>868</v>
      </c>
      <c r="I292" s="778"/>
      <c r="J292" s="778"/>
      <c r="K292" s="778"/>
      <c r="L292" s="628"/>
      <c r="M292" s="628"/>
      <c r="N292" s="628"/>
    </row>
    <row r="293" spans="2:14" s="590" customFormat="1" ht="18.75" customHeight="1">
      <c r="B293" s="589"/>
      <c r="D293" s="622"/>
      <c r="E293" s="628"/>
      <c r="F293" s="628"/>
      <c r="G293" s="628"/>
      <c r="H293" s="590" t="s">
        <v>869</v>
      </c>
      <c r="I293" s="778"/>
      <c r="J293" s="778"/>
      <c r="K293" s="778"/>
      <c r="L293" s="628"/>
      <c r="M293" s="628"/>
      <c r="N293" s="628"/>
    </row>
    <row r="294" spans="2:14" s="590" customFormat="1" ht="18.75" customHeight="1">
      <c r="B294" s="589"/>
      <c r="D294" s="622"/>
      <c r="E294" s="628"/>
      <c r="F294" s="628"/>
      <c r="G294" s="628"/>
      <c r="I294" s="778"/>
      <c r="J294" s="778"/>
      <c r="K294" s="778"/>
      <c r="L294" s="628"/>
      <c r="M294" s="628"/>
      <c r="N294" s="628"/>
    </row>
    <row r="295" spans="2:14" s="590" customFormat="1" ht="14.25" thickBot="1">
      <c r="B295" s="589"/>
      <c r="C295" s="604" t="s">
        <v>57</v>
      </c>
      <c r="D295" s="590" t="s">
        <v>94</v>
      </c>
      <c r="E295" s="589"/>
      <c r="F295" s="605"/>
      <c r="G295" s="605"/>
      <c r="H295" s="605"/>
    </row>
    <row r="296" spans="2:14" s="662" customFormat="1" ht="30.75" customHeight="1">
      <c r="B296" s="678"/>
      <c r="D296" s="679"/>
      <c r="E296" s="680" t="s">
        <v>391</v>
      </c>
      <c r="F296" s="608" t="s">
        <v>392</v>
      </c>
      <c r="G296" s="608" t="s">
        <v>393</v>
      </c>
      <c r="H296" s="690" t="s">
        <v>113</v>
      </c>
      <c r="I296" s="620" t="s">
        <v>132</v>
      </c>
      <c r="J296" s="691"/>
      <c r="K296" s="623"/>
      <c r="L296" s="623"/>
      <c r="M296" s="590"/>
    </row>
    <row r="297" spans="2:14" s="590" customFormat="1" ht="18.75" hidden="1" customHeight="1">
      <c r="B297" s="589"/>
      <c r="D297" s="591" t="s">
        <v>754</v>
      </c>
      <c r="E297" s="683">
        <v>24201752</v>
      </c>
      <c r="F297" s="593">
        <v>715301</v>
      </c>
      <c r="G297" s="593">
        <v>1985321</v>
      </c>
      <c r="H297" s="594">
        <v>1203654</v>
      </c>
      <c r="I297" s="672">
        <f t="shared" ref="I297:I310" si="45">SUM(E297:H297)</f>
        <v>28106028</v>
      </c>
      <c r="J297" s="694"/>
      <c r="K297" s="625"/>
      <c r="L297" s="625"/>
    </row>
    <row r="298" spans="2:14" s="590" customFormat="1" ht="18.75" hidden="1" customHeight="1">
      <c r="B298" s="589"/>
      <c r="D298" s="591" t="s">
        <v>755</v>
      </c>
      <c r="E298" s="683">
        <v>23196767</v>
      </c>
      <c r="F298" s="593">
        <v>666798</v>
      </c>
      <c r="G298" s="593">
        <v>2153773</v>
      </c>
      <c r="H298" s="594">
        <v>1868118</v>
      </c>
      <c r="I298" s="672">
        <f t="shared" si="45"/>
        <v>27885456</v>
      </c>
      <c r="J298" s="694"/>
      <c r="K298" s="625"/>
      <c r="L298" s="625"/>
    </row>
    <row r="299" spans="2:14" s="590" customFormat="1" ht="18.75" hidden="1" customHeight="1">
      <c r="B299" s="589"/>
      <c r="D299" s="591" t="s">
        <v>756</v>
      </c>
      <c r="E299" s="596">
        <v>20426399</v>
      </c>
      <c r="F299" s="597">
        <v>678048</v>
      </c>
      <c r="G299" s="597">
        <v>2963846</v>
      </c>
      <c r="H299" s="598">
        <v>3387702</v>
      </c>
      <c r="I299" s="672">
        <f t="shared" si="45"/>
        <v>27455995</v>
      </c>
      <c r="J299" s="694"/>
      <c r="K299" s="625"/>
      <c r="L299" s="625"/>
    </row>
    <row r="300" spans="2:14" s="590" customFormat="1" ht="18.75" customHeight="1">
      <c r="B300" s="589"/>
      <c r="D300" s="591" t="s">
        <v>824</v>
      </c>
      <c r="E300" s="596">
        <v>20804125</v>
      </c>
      <c r="F300" s="597">
        <v>630125</v>
      </c>
      <c r="G300" s="597">
        <v>3780795</v>
      </c>
      <c r="H300" s="598">
        <v>2318193</v>
      </c>
      <c r="I300" s="672">
        <f t="shared" si="45"/>
        <v>27533238</v>
      </c>
      <c r="J300" s="694"/>
      <c r="K300" s="625"/>
      <c r="L300" s="625"/>
    </row>
    <row r="301" spans="2:14" s="590" customFormat="1" ht="18.75" customHeight="1">
      <c r="B301" s="589"/>
      <c r="D301" s="591" t="s">
        <v>757</v>
      </c>
      <c r="E301" s="596">
        <v>20883907</v>
      </c>
      <c r="F301" s="597">
        <v>544918</v>
      </c>
      <c r="G301" s="597">
        <v>3908326</v>
      </c>
      <c r="H301" s="598">
        <v>2298370</v>
      </c>
      <c r="I301" s="672">
        <f t="shared" si="45"/>
        <v>27635521</v>
      </c>
      <c r="J301" s="694"/>
      <c r="K301" s="625"/>
      <c r="L301" s="625"/>
    </row>
    <row r="302" spans="2:14" s="590" customFormat="1" ht="18.75" customHeight="1">
      <c r="B302" s="589"/>
      <c r="D302" s="591" t="s">
        <v>758</v>
      </c>
      <c r="E302" s="596">
        <v>21747420</v>
      </c>
      <c r="F302" s="597">
        <v>519621</v>
      </c>
      <c r="G302" s="597">
        <v>3495912</v>
      </c>
      <c r="H302" s="598">
        <v>2149826</v>
      </c>
      <c r="I302" s="672">
        <f t="shared" si="45"/>
        <v>27912779</v>
      </c>
      <c r="J302" s="694"/>
      <c r="K302" s="625"/>
      <c r="L302" s="625"/>
    </row>
    <row r="303" spans="2:14" s="590" customFormat="1" ht="18.75" customHeight="1">
      <c r="B303" s="589"/>
      <c r="D303" s="591" t="s">
        <v>759</v>
      </c>
      <c r="E303" s="596">
        <v>21970488</v>
      </c>
      <c r="F303" s="597">
        <v>508758</v>
      </c>
      <c r="G303" s="597">
        <v>3426649</v>
      </c>
      <c r="H303" s="598">
        <v>1867049</v>
      </c>
      <c r="I303" s="672">
        <f t="shared" si="45"/>
        <v>27772944</v>
      </c>
      <c r="J303" s="694"/>
      <c r="K303" s="625"/>
      <c r="L303" s="625"/>
    </row>
    <row r="304" spans="2:14" s="590" customFormat="1" ht="18.75" customHeight="1">
      <c r="B304" s="589"/>
      <c r="D304" s="591" t="s">
        <v>760</v>
      </c>
      <c r="E304" s="596">
        <v>22927829</v>
      </c>
      <c r="F304" s="597">
        <v>499856</v>
      </c>
      <c r="G304" s="597">
        <v>3347343</v>
      </c>
      <c r="H304" s="598">
        <v>1615846</v>
      </c>
      <c r="I304" s="672">
        <f t="shared" si="45"/>
        <v>28390874</v>
      </c>
      <c r="J304" s="694"/>
      <c r="K304" s="625"/>
      <c r="L304" s="625"/>
    </row>
    <row r="305" spans="2:13" s="590" customFormat="1" ht="18.75" customHeight="1">
      <c r="B305" s="589"/>
      <c r="D305" s="591" t="s">
        <v>761</v>
      </c>
      <c r="E305" s="596">
        <v>23347584</v>
      </c>
      <c r="F305" s="596">
        <v>499276</v>
      </c>
      <c r="G305" s="596">
        <v>3263063</v>
      </c>
      <c r="H305" s="599">
        <v>1468399</v>
      </c>
      <c r="I305" s="672">
        <f t="shared" si="45"/>
        <v>28578322</v>
      </c>
      <c r="J305" s="694"/>
      <c r="K305" s="625"/>
      <c r="L305" s="625"/>
    </row>
    <row r="306" spans="2:13" s="590" customFormat="1" ht="18.75" customHeight="1">
      <c r="B306" s="589"/>
      <c r="D306" s="591" t="s">
        <v>762</v>
      </c>
      <c r="E306" s="596">
        <v>23887644</v>
      </c>
      <c r="F306" s="596">
        <v>487906</v>
      </c>
      <c r="G306" s="596">
        <v>2957390</v>
      </c>
      <c r="H306" s="599">
        <v>1373739</v>
      </c>
      <c r="I306" s="675">
        <f t="shared" si="45"/>
        <v>28706679</v>
      </c>
      <c r="J306" s="694"/>
      <c r="K306" s="625"/>
      <c r="L306" s="625"/>
    </row>
    <row r="307" spans="2:13" s="590" customFormat="1" ht="18.75" customHeight="1">
      <c r="B307" s="589"/>
      <c r="D307" s="591" t="s">
        <v>763</v>
      </c>
      <c r="E307" s="596">
        <v>23529823</v>
      </c>
      <c r="F307" s="596">
        <v>499684</v>
      </c>
      <c r="G307" s="596">
        <v>3129368</v>
      </c>
      <c r="H307" s="599">
        <v>1652019</v>
      </c>
      <c r="I307" s="675">
        <f t="shared" si="45"/>
        <v>28810894</v>
      </c>
      <c r="J307" s="694"/>
      <c r="K307" s="625"/>
      <c r="L307" s="625"/>
    </row>
    <row r="308" spans="2:13" s="590" customFormat="1" ht="18.75" customHeight="1">
      <c r="B308" s="589"/>
      <c r="D308" s="602" t="s">
        <v>752</v>
      </c>
      <c r="E308" s="596">
        <v>23782284</v>
      </c>
      <c r="F308" s="596">
        <v>498286</v>
      </c>
      <c r="G308" s="596">
        <v>3110119</v>
      </c>
      <c r="H308" s="599">
        <v>1333686</v>
      </c>
      <c r="I308" s="675">
        <f t="shared" si="45"/>
        <v>28724375</v>
      </c>
      <c r="J308" s="694"/>
      <c r="K308" s="625"/>
      <c r="L308" s="625"/>
    </row>
    <row r="309" spans="2:13" s="590" customFormat="1" ht="18.75" customHeight="1">
      <c r="B309" s="589"/>
      <c r="D309" s="602" t="s">
        <v>771</v>
      </c>
      <c r="E309" s="596">
        <v>24386364</v>
      </c>
      <c r="F309" s="596">
        <v>510901</v>
      </c>
      <c r="G309" s="596">
        <v>3054140</v>
      </c>
      <c r="H309" s="599">
        <v>1163426</v>
      </c>
      <c r="I309" s="675">
        <f t="shared" si="45"/>
        <v>29114831</v>
      </c>
      <c r="J309" s="694"/>
      <c r="K309" s="625"/>
      <c r="L309" s="625"/>
    </row>
    <row r="310" spans="2:13" s="590" customFormat="1" ht="18.75" customHeight="1">
      <c r="B310" s="589"/>
      <c r="D310" s="602" t="s">
        <v>778</v>
      </c>
      <c r="E310" s="596">
        <v>23713685</v>
      </c>
      <c r="F310" s="596">
        <v>500586</v>
      </c>
      <c r="G310" s="596">
        <v>3449853</v>
      </c>
      <c r="H310" s="599">
        <v>2587799</v>
      </c>
      <c r="I310" s="675">
        <f t="shared" si="45"/>
        <v>30251923</v>
      </c>
      <c r="J310" s="694"/>
      <c r="K310" s="625"/>
      <c r="L310" s="625"/>
    </row>
    <row r="311" spans="2:13" s="590" customFormat="1" ht="18.75" customHeight="1">
      <c r="B311" s="589"/>
      <c r="D311" s="602" t="s">
        <v>790</v>
      </c>
      <c r="E311" s="596">
        <v>24448675</v>
      </c>
      <c r="F311" s="596">
        <v>508691</v>
      </c>
      <c r="G311" s="596">
        <v>3830935</v>
      </c>
      <c r="H311" s="599">
        <v>701660</v>
      </c>
      <c r="I311" s="675">
        <f>SUM(E311:H311)</f>
        <v>29489961</v>
      </c>
      <c r="J311" s="694"/>
      <c r="K311" s="625"/>
      <c r="L311" s="625"/>
    </row>
    <row r="312" spans="2:13" s="590" customFormat="1" ht="18.75" customHeight="1">
      <c r="B312" s="589"/>
      <c r="D312" s="602" t="s">
        <v>797</v>
      </c>
      <c r="E312" s="596">
        <v>25245233</v>
      </c>
      <c r="F312" s="596">
        <v>500087</v>
      </c>
      <c r="G312" s="596">
        <v>4384641</v>
      </c>
      <c r="H312" s="599">
        <v>323937</v>
      </c>
      <c r="I312" s="675">
        <f>SUM(E312:H312)</f>
        <v>30453898</v>
      </c>
      <c r="J312" s="694"/>
      <c r="K312" s="625"/>
      <c r="L312" s="625"/>
    </row>
    <row r="313" spans="2:13" s="590" customFormat="1" ht="18.75" customHeight="1">
      <c r="B313" s="589"/>
      <c r="D313" s="602" t="s">
        <v>840</v>
      </c>
      <c r="E313" s="596">
        <v>25564185</v>
      </c>
      <c r="F313" s="596">
        <v>516145</v>
      </c>
      <c r="G313" s="596">
        <v>5172482</v>
      </c>
      <c r="H313" s="599">
        <v>165173</v>
      </c>
      <c r="I313" s="675">
        <f>SUM(E313:H313)</f>
        <v>31417985</v>
      </c>
      <c r="J313" s="694"/>
      <c r="K313" s="625"/>
      <c r="L313" s="625"/>
    </row>
    <row r="314" spans="2:13" s="590" customFormat="1" ht="18.75" customHeight="1" thickBot="1">
      <c r="B314" s="589"/>
      <c r="D314" s="616" t="s">
        <v>350</v>
      </c>
      <c r="E314" s="617">
        <f>E313-E312</f>
        <v>318952</v>
      </c>
      <c r="F314" s="617">
        <f t="shared" ref="F314:I314" si="46">F313-F312</f>
        <v>16058</v>
      </c>
      <c r="G314" s="617">
        <f>G313-G312</f>
        <v>787841</v>
      </c>
      <c r="H314" s="630">
        <f>H313-H312</f>
        <v>-158764</v>
      </c>
      <c r="I314" s="676">
        <f t="shared" si="46"/>
        <v>964087</v>
      </c>
      <c r="J314" s="621"/>
      <c r="K314" s="628"/>
      <c r="L314" s="628"/>
      <c r="M314" s="628"/>
    </row>
    <row r="315" spans="2:13" s="590" customFormat="1" ht="21" customHeight="1">
      <c r="B315" s="589"/>
      <c r="D315" s="622"/>
      <c r="E315" s="628"/>
      <c r="F315" s="628"/>
      <c r="G315" s="628"/>
      <c r="H315" s="628"/>
      <c r="I315" s="628"/>
      <c r="J315" s="628"/>
      <c r="K315" s="628"/>
      <c r="L315" s="628"/>
      <c r="M315" s="628"/>
    </row>
    <row r="316" spans="2:13" s="590" customFormat="1" ht="14.25" thickBot="1">
      <c r="B316" s="589"/>
      <c r="C316" s="604" t="s">
        <v>58</v>
      </c>
      <c r="D316" s="590" t="s">
        <v>394</v>
      </c>
      <c r="E316" s="589"/>
      <c r="F316" s="605"/>
      <c r="G316" s="605"/>
      <c r="H316" s="605"/>
      <c r="L316" s="628"/>
      <c r="M316" s="628"/>
    </row>
    <row r="317" spans="2:13" s="590" customFormat="1" ht="30.75" customHeight="1">
      <c r="B317" s="589"/>
      <c r="D317" s="631"/>
      <c r="E317" s="608" t="s">
        <v>395</v>
      </c>
      <c r="F317" s="608" t="s">
        <v>723</v>
      </c>
      <c r="G317" s="632" t="s">
        <v>95</v>
      </c>
      <c r="H317" s="718" t="s">
        <v>724</v>
      </c>
      <c r="I317" s="633" t="s">
        <v>396</v>
      </c>
      <c r="J317" s="619" t="s">
        <v>725</v>
      </c>
      <c r="K317" s="719" t="s">
        <v>132</v>
      </c>
      <c r="L317" s="628"/>
      <c r="M317" s="628"/>
    </row>
    <row r="318" spans="2:13" s="590" customFormat="1" ht="21" hidden="1" customHeight="1">
      <c r="B318" s="589"/>
      <c r="D318" s="591" t="s">
        <v>754</v>
      </c>
      <c r="E318" s="593">
        <v>604087</v>
      </c>
      <c r="F318" s="593">
        <v>278707</v>
      </c>
      <c r="G318" s="592">
        <v>1669493</v>
      </c>
      <c r="H318" s="593">
        <v>403462</v>
      </c>
      <c r="I318" s="611">
        <v>0</v>
      </c>
      <c r="J318" s="671">
        <v>22234</v>
      </c>
      <c r="K318" s="672">
        <f t="shared" ref="K318:K332" si="47">SUM(E318:J318)</f>
        <v>2977983</v>
      </c>
      <c r="L318" s="628"/>
      <c r="M318" s="628"/>
    </row>
    <row r="319" spans="2:13" s="590" customFormat="1" ht="21" hidden="1" customHeight="1">
      <c r="B319" s="589"/>
      <c r="D319" s="591" t="s">
        <v>755</v>
      </c>
      <c r="E319" s="593">
        <v>573161</v>
      </c>
      <c r="F319" s="593">
        <v>266321</v>
      </c>
      <c r="G319" s="592">
        <v>1824732</v>
      </c>
      <c r="H319" s="593">
        <v>411624</v>
      </c>
      <c r="I319" s="611">
        <v>0</v>
      </c>
      <c r="J319" s="671">
        <v>18886</v>
      </c>
      <c r="K319" s="672">
        <f t="shared" si="47"/>
        <v>3094724</v>
      </c>
      <c r="L319" s="628"/>
      <c r="M319" s="628"/>
    </row>
    <row r="320" spans="2:13" s="590" customFormat="1" ht="21" hidden="1" customHeight="1">
      <c r="B320" s="589"/>
      <c r="D320" s="591" t="s">
        <v>756</v>
      </c>
      <c r="E320" s="597">
        <v>584886</v>
      </c>
      <c r="F320" s="597">
        <v>260582</v>
      </c>
      <c r="G320" s="596">
        <v>1941301</v>
      </c>
      <c r="H320" s="597">
        <v>421322</v>
      </c>
      <c r="I320" s="613">
        <v>0</v>
      </c>
      <c r="J320" s="673">
        <v>11118</v>
      </c>
      <c r="K320" s="672">
        <f t="shared" si="47"/>
        <v>3219209</v>
      </c>
      <c r="L320" s="628"/>
      <c r="M320" s="628"/>
    </row>
    <row r="321" spans="2:13" s="590" customFormat="1" ht="21" customHeight="1">
      <c r="B321" s="589"/>
      <c r="D321" s="591" t="s">
        <v>824</v>
      </c>
      <c r="E321" s="597">
        <v>541335</v>
      </c>
      <c r="F321" s="597">
        <v>214725</v>
      </c>
      <c r="G321" s="596">
        <v>2101721</v>
      </c>
      <c r="H321" s="597">
        <v>432693</v>
      </c>
      <c r="I321" s="613">
        <v>0</v>
      </c>
      <c r="J321" s="673">
        <v>8751</v>
      </c>
      <c r="K321" s="672">
        <f t="shared" si="47"/>
        <v>3299225</v>
      </c>
      <c r="L321" s="628"/>
      <c r="M321" s="628"/>
    </row>
    <row r="322" spans="2:13" s="590" customFormat="1" ht="21" customHeight="1">
      <c r="B322" s="589"/>
      <c r="D322" s="591" t="s">
        <v>757</v>
      </c>
      <c r="E322" s="597">
        <v>541962</v>
      </c>
      <c r="F322" s="597">
        <v>225956</v>
      </c>
      <c r="G322" s="596">
        <v>2213189</v>
      </c>
      <c r="H322" s="597">
        <v>431496</v>
      </c>
      <c r="I322" s="613">
        <v>3579</v>
      </c>
      <c r="J322" s="673">
        <v>3194</v>
      </c>
      <c r="K322" s="672">
        <f t="shared" si="47"/>
        <v>3419376</v>
      </c>
      <c r="L322" s="628"/>
      <c r="M322" s="628"/>
    </row>
    <row r="323" spans="2:13" s="590" customFormat="1" ht="21" customHeight="1">
      <c r="B323" s="589"/>
      <c r="D323" s="591" t="s">
        <v>758</v>
      </c>
      <c r="E323" s="597">
        <v>526230</v>
      </c>
      <c r="F323" s="597">
        <v>236608</v>
      </c>
      <c r="G323" s="596">
        <v>2348444</v>
      </c>
      <c r="H323" s="597">
        <v>424392</v>
      </c>
      <c r="I323" s="613">
        <v>4339</v>
      </c>
      <c r="J323" s="673">
        <v>10667</v>
      </c>
      <c r="K323" s="672">
        <f t="shared" si="47"/>
        <v>3550680</v>
      </c>
      <c r="L323" s="628"/>
      <c r="M323" s="628"/>
    </row>
    <row r="324" spans="2:13" s="590" customFormat="1" ht="21" customHeight="1">
      <c r="B324" s="589"/>
      <c r="D324" s="591" t="s">
        <v>759</v>
      </c>
      <c r="E324" s="597">
        <v>480172</v>
      </c>
      <c r="F324" s="597">
        <v>243103</v>
      </c>
      <c r="G324" s="596">
        <v>2675749</v>
      </c>
      <c r="H324" s="597">
        <v>421770</v>
      </c>
      <c r="I324" s="613">
        <v>5016</v>
      </c>
      <c r="J324" s="673">
        <v>16407</v>
      </c>
      <c r="K324" s="672">
        <f t="shared" si="47"/>
        <v>3842217</v>
      </c>
      <c r="L324" s="628"/>
      <c r="M324" s="628"/>
    </row>
    <row r="325" spans="2:13" s="590" customFormat="1" ht="21" customHeight="1">
      <c r="B325" s="589"/>
      <c r="D325" s="591" t="s">
        <v>760</v>
      </c>
      <c r="E325" s="597">
        <v>308898</v>
      </c>
      <c r="F325" s="597">
        <v>250030</v>
      </c>
      <c r="G325" s="596">
        <v>2606156</v>
      </c>
      <c r="H325" s="597">
        <v>421669</v>
      </c>
      <c r="I325" s="613">
        <v>5402</v>
      </c>
      <c r="J325" s="673">
        <v>20501</v>
      </c>
      <c r="K325" s="672">
        <f t="shared" si="47"/>
        <v>3612656</v>
      </c>
      <c r="L325" s="628"/>
      <c r="M325" s="628"/>
    </row>
    <row r="326" spans="2:13" s="590" customFormat="1" ht="21" customHeight="1">
      <c r="B326" s="589"/>
      <c r="D326" s="591" t="s">
        <v>761</v>
      </c>
      <c r="E326" s="596">
        <v>258976</v>
      </c>
      <c r="F326" s="596">
        <v>255647</v>
      </c>
      <c r="G326" s="596">
        <v>2821706</v>
      </c>
      <c r="H326" s="596">
        <v>421565</v>
      </c>
      <c r="I326" s="615">
        <v>5978</v>
      </c>
      <c r="J326" s="674">
        <v>151879</v>
      </c>
      <c r="K326" s="672">
        <f t="shared" si="47"/>
        <v>3915751</v>
      </c>
      <c r="L326" s="628"/>
      <c r="M326" s="628"/>
    </row>
    <row r="327" spans="2:13" s="590" customFormat="1" ht="21" customHeight="1">
      <c r="B327" s="589"/>
      <c r="D327" s="591" t="s">
        <v>762</v>
      </c>
      <c r="E327" s="596">
        <v>200532</v>
      </c>
      <c r="F327" s="596">
        <v>261093</v>
      </c>
      <c r="G327" s="596">
        <v>2897836</v>
      </c>
      <c r="H327" s="596">
        <v>421528</v>
      </c>
      <c r="I327" s="615">
        <v>6663</v>
      </c>
      <c r="J327" s="674">
        <v>161390</v>
      </c>
      <c r="K327" s="675">
        <f t="shared" si="47"/>
        <v>3949042</v>
      </c>
      <c r="L327" s="628"/>
      <c r="M327" s="628"/>
    </row>
    <row r="328" spans="2:13" s="590" customFormat="1" ht="21" customHeight="1">
      <c r="B328" s="589"/>
      <c r="D328" s="591" t="s">
        <v>763</v>
      </c>
      <c r="E328" s="596">
        <v>194898</v>
      </c>
      <c r="F328" s="596">
        <v>267384</v>
      </c>
      <c r="G328" s="596">
        <v>2977839</v>
      </c>
      <c r="H328" s="596">
        <v>421723</v>
      </c>
      <c r="I328" s="615">
        <v>7394</v>
      </c>
      <c r="J328" s="674">
        <v>194919</v>
      </c>
      <c r="K328" s="675">
        <f t="shared" si="47"/>
        <v>4064157</v>
      </c>
      <c r="L328" s="628"/>
      <c r="M328" s="628"/>
    </row>
    <row r="329" spans="2:13" s="590" customFormat="1" ht="21" customHeight="1">
      <c r="B329" s="589"/>
      <c r="D329" s="602" t="s">
        <v>752</v>
      </c>
      <c r="E329" s="596">
        <v>200052</v>
      </c>
      <c r="F329" s="596">
        <v>273598</v>
      </c>
      <c r="G329" s="596">
        <v>2993621</v>
      </c>
      <c r="H329" s="596">
        <v>421712</v>
      </c>
      <c r="I329" s="615">
        <v>8607</v>
      </c>
      <c r="J329" s="674">
        <v>214359</v>
      </c>
      <c r="K329" s="675">
        <f t="shared" si="47"/>
        <v>4111949</v>
      </c>
      <c r="L329" s="628"/>
      <c r="M329" s="628"/>
    </row>
    <row r="330" spans="2:13" s="590" customFormat="1" ht="21" customHeight="1">
      <c r="B330" s="589"/>
      <c r="D330" s="602" t="s">
        <v>771</v>
      </c>
      <c r="E330" s="596">
        <v>144009</v>
      </c>
      <c r="F330" s="596">
        <v>277815</v>
      </c>
      <c r="G330" s="596">
        <v>2892673</v>
      </c>
      <c r="H330" s="596">
        <v>419959</v>
      </c>
      <c r="I330" s="615">
        <v>9370</v>
      </c>
      <c r="J330" s="674">
        <v>104214</v>
      </c>
      <c r="K330" s="675">
        <f t="shared" si="47"/>
        <v>3848040</v>
      </c>
      <c r="L330" s="628"/>
      <c r="M330" s="628"/>
    </row>
    <row r="331" spans="2:13" s="590" customFormat="1" ht="21" customHeight="1">
      <c r="B331" s="589"/>
      <c r="D331" s="602" t="s">
        <v>778</v>
      </c>
      <c r="E331" s="596">
        <v>118649</v>
      </c>
      <c r="F331" s="596">
        <v>281147</v>
      </c>
      <c r="G331" s="596">
        <v>2896324</v>
      </c>
      <c r="H331" s="596">
        <v>411406</v>
      </c>
      <c r="I331" s="615">
        <v>10028</v>
      </c>
      <c r="J331" s="674">
        <v>105062</v>
      </c>
      <c r="K331" s="675">
        <f t="shared" si="47"/>
        <v>3822616</v>
      </c>
      <c r="L331" s="628"/>
      <c r="M331" s="628"/>
    </row>
    <row r="332" spans="2:13" s="590" customFormat="1" ht="21" customHeight="1">
      <c r="B332" s="589"/>
      <c r="D332" s="602" t="s">
        <v>790</v>
      </c>
      <c r="E332" s="596">
        <v>92333</v>
      </c>
      <c r="F332" s="596">
        <v>283357</v>
      </c>
      <c r="G332" s="596">
        <v>3059508</v>
      </c>
      <c r="H332" s="596">
        <v>392940</v>
      </c>
      <c r="I332" s="615">
        <v>11354</v>
      </c>
      <c r="J332" s="674">
        <v>107549</v>
      </c>
      <c r="K332" s="675">
        <f t="shared" si="47"/>
        <v>3947041</v>
      </c>
      <c r="L332" s="628"/>
      <c r="M332" s="628"/>
    </row>
    <row r="333" spans="2:13" s="590" customFormat="1" ht="21" customHeight="1">
      <c r="B333" s="589"/>
      <c r="D333" s="602" t="s">
        <v>797</v>
      </c>
      <c r="E333" s="596">
        <v>80919</v>
      </c>
      <c r="F333" s="596">
        <v>284540</v>
      </c>
      <c r="G333" s="596">
        <v>3349335</v>
      </c>
      <c r="H333" s="596">
        <v>357244</v>
      </c>
      <c r="I333" s="615">
        <v>11690.871779999999</v>
      </c>
      <c r="J333" s="674">
        <v>112579.212795</v>
      </c>
      <c r="K333" s="675">
        <f t="shared" ref="K333" si="48">SUM(E333:J333)</f>
        <v>4196308.0845750002</v>
      </c>
      <c r="L333" s="628"/>
      <c r="M333" s="628"/>
    </row>
    <row r="334" spans="2:13" s="590" customFormat="1" ht="21" customHeight="1">
      <c r="B334" s="589"/>
      <c r="D334" s="602" t="s">
        <v>840</v>
      </c>
      <c r="E334" s="596">
        <v>77325</v>
      </c>
      <c r="F334" s="596">
        <v>294891</v>
      </c>
      <c r="G334" s="596">
        <v>3332625</v>
      </c>
      <c r="H334" s="596">
        <v>303609</v>
      </c>
      <c r="I334" s="615">
        <v>13912</v>
      </c>
      <c r="J334" s="674">
        <v>133679</v>
      </c>
      <c r="K334" s="675">
        <f>SUM(E334:J334)</f>
        <v>4156041</v>
      </c>
      <c r="L334" s="628"/>
      <c r="M334" s="628"/>
    </row>
    <row r="335" spans="2:13" s="590" customFormat="1" ht="21" customHeight="1" thickBot="1">
      <c r="B335" s="589"/>
      <c r="D335" s="616" t="s">
        <v>350</v>
      </c>
      <c r="E335" s="617">
        <f>E334-E333</f>
        <v>-3594</v>
      </c>
      <c r="F335" s="617">
        <f t="shared" ref="F335:K335" si="49">F334-F333</f>
        <v>10351</v>
      </c>
      <c r="G335" s="617">
        <f t="shared" si="49"/>
        <v>-16710</v>
      </c>
      <c r="H335" s="617">
        <f t="shared" si="49"/>
        <v>-53635</v>
      </c>
      <c r="I335" s="617">
        <f t="shared" si="49"/>
        <v>2221.1282200000005</v>
      </c>
      <c r="J335" s="630">
        <f t="shared" si="49"/>
        <v>21099.787205000001</v>
      </c>
      <c r="K335" s="676">
        <f t="shared" si="49"/>
        <v>-40267.084575000219</v>
      </c>
      <c r="L335" s="628"/>
      <c r="M335" s="628"/>
    </row>
  </sheetData>
  <mergeCells count="20">
    <mergeCell ref="D139:D140"/>
    <mergeCell ref="K139:K140"/>
    <mergeCell ref="L139:L140"/>
    <mergeCell ref="M139:M140"/>
    <mergeCell ref="D49:D50"/>
    <mergeCell ref="E49:I49"/>
    <mergeCell ref="J49:J50"/>
    <mergeCell ref="K49:K50"/>
    <mergeCell ref="L49:L50"/>
    <mergeCell ref="E115:J115"/>
    <mergeCell ref="K115:O115"/>
    <mergeCell ref="E112:O112"/>
    <mergeCell ref="E108:O108"/>
    <mergeCell ref="E110:O110"/>
    <mergeCell ref="D5:D6"/>
    <mergeCell ref="E5:H5"/>
    <mergeCell ref="I5:I6"/>
    <mergeCell ref="J5:J6"/>
    <mergeCell ref="D28:D29"/>
    <mergeCell ref="E28:M28"/>
  </mergeCells>
  <phoneticPr fontId="2"/>
  <pageMargins left="0.78740157480314965" right="0.39370078740157483" top="0.51181102362204722" bottom="0.39370078740157483" header="0.27559055118110237" footer="0.11811023622047245"/>
  <pageSetup paperSize="9" scale="53" fitToHeight="5" orientation="landscape" r:id="rId1"/>
  <headerFooter alignWithMargins="0">
    <oddFooter>&amp;R&amp;8&amp;Z&amp;F</oddFooter>
  </headerFooter>
  <rowBreaks count="4" manualBreakCount="4">
    <brk id="72" max="16383" man="1"/>
    <brk id="136" max="16383" man="1"/>
    <brk id="221" max="16383" man="1"/>
    <brk id="294"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91"/>
  <sheetViews>
    <sheetView view="pageBreakPreview" zoomScaleNormal="100" workbookViewId="0">
      <selection activeCell="B3" sqref="B3:E3"/>
    </sheetView>
  </sheetViews>
  <sheetFormatPr defaultRowHeight="12"/>
  <cols>
    <col min="1" max="1" width="3.5" style="87" customWidth="1"/>
    <col min="2" max="2" width="27.625" style="87" customWidth="1"/>
    <col min="3" max="5" width="21.25" style="87" customWidth="1"/>
    <col min="6" max="16384" width="9" style="87"/>
  </cols>
  <sheetData>
    <row r="1" spans="1:6" s="220" customFormat="1" ht="21.75" customHeight="1">
      <c r="A1" s="1141" t="s">
        <v>718</v>
      </c>
      <c r="B1" s="1142"/>
      <c r="C1" s="1142"/>
      <c r="D1" s="1142"/>
      <c r="E1" s="1142"/>
    </row>
    <row r="2" spans="1:6" s="220" customFormat="1" ht="15" customHeight="1"/>
    <row r="3" spans="1:6" ht="202.5" customHeight="1">
      <c r="A3" s="93"/>
      <c r="B3" s="1140" t="s">
        <v>715</v>
      </c>
      <c r="C3" s="1140"/>
      <c r="D3" s="1140"/>
      <c r="E3" s="1140"/>
    </row>
    <row r="4" spans="1:6" ht="196.5" customHeight="1">
      <c r="A4" s="93"/>
      <c r="B4" s="1140" t="s">
        <v>716</v>
      </c>
      <c r="C4" s="1140"/>
      <c r="D4" s="1140"/>
      <c r="E4" s="1140"/>
    </row>
    <row r="5" spans="1:6" ht="18" customHeight="1">
      <c r="E5" s="92" t="s">
        <v>460</v>
      </c>
    </row>
    <row r="6" spans="1:6" ht="16.5" customHeight="1">
      <c r="B6" s="192"/>
      <c r="C6" s="193" t="s">
        <v>650</v>
      </c>
      <c r="D6" s="193" t="s">
        <v>696</v>
      </c>
      <c r="E6" s="193" t="s">
        <v>462</v>
      </c>
    </row>
    <row r="7" spans="1:6" ht="16.5" customHeight="1">
      <c r="B7" s="192" t="s">
        <v>463</v>
      </c>
      <c r="C7" s="194">
        <v>3.9</v>
      </c>
      <c r="D7" s="194">
        <v>3</v>
      </c>
      <c r="E7" s="195">
        <f>D7-C7</f>
        <v>-0.89999999999999991</v>
      </c>
      <c r="F7" s="92"/>
    </row>
    <row r="8" spans="1:6" ht="16.5" customHeight="1">
      <c r="B8" s="88"/>
      <c r="C8" s="89"/>
      <c r="D8" s="90"/>
      <c r="E8" s="91"/>
      <c r="F8" s="92"/>
    </row>
    <row r="9" spans="1:6" ht="16.5" customHeight="1">
      <c r="A9" s="87" t="s">
        <v>639</v>
      </c>
      <c r="E9" s="92" t="s">
        <v>465</v>
      </c>
    </row>
    <row r="10" spans="1:6" ht="16.5" customHeight="1">
      <c r="B10" s="192"/>
      <c r="C10" s="193" t="s">
        <v>650</v>
      </c>
      <c r="D10" s="193" t="s">
        <v>696</v>
      </c>
      <c r="E10" s="193" t="s">
        <v>462</v>
      </c>
    </row>
    <row r="11" spans="1:6" ht="16.5" customHeight="1">
      <c r="A11" s="87" t="s">
        <v>74</v>
      </c>
      <c r="B11" s="192" t="s">
        <v>633</v>
      </c>
      <c r="C11" s="196">
        <v>3821540</v>
      </c>
      <c r="D11" s="196">
        <v>3983083</v>
      </c>
      <c r="E11" s="197">
        <f t="shared" ref="E11:E16" si="0">D11-C11</f>
        <v>161543</v>
      </c>
      <c r="F11" s="92"/>
    </row>
    <row r="12" spans="1:6" ht="16.5" customHeight="1">
      <c r="B12" s="192" t="s">
        <v>699</v>
      </c>
      <c r="C12" s="196">
        <v>176166</v>
      </c>
      <c r="D12" s="196">
        <v>134360</v>
      </c>
      <c r="E12" s="197">
        <f t="shared" si="0"/>
        <v>-41806</v>
      </c>
      <c r="F12" s="92"/>
    </row>
    <row r="13" spans="1:6" ht="16.5" customHeight="1">
      <c r="B13" s="198" t="s">
        <v>655</v>
      </c>
      <c r="C13" s="199">
        <v>195622</v>
      </c>
      <c r="D13" s="199">
        <v>396471</v>
      </c>
      <c r="E13" s="197">
        <f t="shared" si="0"/>
        <v>200849</v>
      </c>
    </row>
    <row r="14" spans="1:6" ht="16.5" customHeight="1">
      <c r="B14" s="198" t="s">
        <v>654</v>
      </c>
      <c r="C14" s="199">
        <v>1103935</v>
      </c>
      <c r="D14" s="199">
        <v>1020361</v>
      </c>
      <c r="E14" s="197">
        <f t="shared" si="0"/>
        <v>-83574</v>
      </c>
    </row>
    <row r="15" spans="1:6" ht="16.5" customHeight="1">
      <c r="B15" s="198" t="s">
        <v>698</v>
      </c>
      <c r="C15" s="199">
        <v>565883</v>
      </c>
      <c r="D15" s="199">
        <v>512301</v>
      </c>
      <c r="E15" s="197">
        <f t="shared" si="0"/>
        <v>-53582</v>
      </c>
    </row>
    <row r="16" spans="1:6" ht="16.5" customHeight="1">
      <c r="B16" s="198" t="s">
        <v>652</v>
      </c>
      <c r="C16" s="200">
        <v>1271723</v>
      </c>
      <c r="D16" s="200">
        <v>1396664</v>
      </c>
      <c r="E16" s="197">
        <f t="shared" si="0"/>
        <v>124941</v>
      </c>
    </row>
    <row r="17" spans="1:6" ht="16.5" customHeight="1">
      <c r="B17" s="201" t="s">
        <v>651</v>
      </c>
      <c r="C17" s="90"/>
      <c r="D17" s="90"/>
      <c r="E17" s="197"/>
      <c r="F17" s="92"/>
    </row>
    <row r="18" spans="1:6" ht="16.5" customHeight="1">
      <c r="A18" s="87" t="s">
        <v>75</v>
      </c>
      <c r="B18" s="192" t="s">
        <v>214</v>
      </c>
      <c r="C18" s="196">
        <v>1393338</v>
      </c>
      <c r="D18" s="196">
        <v>1441909</v>
      </c>
      <c r="E18" s="197">
        <f t="shared" ref="E18:E27" si="1">D18-C18</f>
        <v>48571</v>
      </c>
      <c r="F18" s="92"/>
    </row>
    <row r="19" spans="1:6" ht="22.5" customHeight="1">
      <c r="B19" s="198" t="s">
        <v>657</v>
      </c>
      <c r="C19" s="202">
        <v>307628</v>
      </c>
      <c r="D19" s="196">
        <v>516533</v>
      </c>
      <c r="E19" s="197">
        <f t="shared" si="1"/>
        <v>208905</v>
      </c>
    </row>
    <row r="20" spans="1:6" ht="22.5" customHeight="1">
      <c r="B20" s="198" t="s">
        <v>466</v>
      </c>
      <c r="C20" s="202">
        <v>964676</v>
      </c>
      <c r="D20" s="202">
        <v>792100</v>
      </c>
      <c r="E20" s="197">
        <f t="shared" si="1"/>
        <v>-172576</v>
      </c>
    </row>
    <row r="21" spans="1:6" s="203" customFormat="1" ht="16.5" customHeight="1">
      <c r="A21" s="203" t="s">
        <v>76</v>
      </c>
      <c r="B21" s="192" t="s">
        <v>634</v>
      </c>
      <c r="C21" s="196">
        <v>751903</v>
      </c>
      <c r="D21" s="196">
        <v>780975</v>
      </c>
      <c r="E21" s="197">
        <f t="shared" si="1"/>
        <v>29072</v>
      </c>
      <c r="F21" s="204"/>
    </row>
    <row r="22" spans="1:6" s="203" customFormat="1" ht="18.75" customHeight="1">
      <c r="A22" s="203" t="s">
        <v>77</v>
      </c>
      <c r="B22" s="205" t="s">
        <v>656</v>
      </c>
      <c r="C22" s="196">
        <v>3612656</v>
      </c>
      <c r="D22" s="196">
        <v>3915751</v>
      </c>
      <c r="E22" s="197">
        <f t="shared" si="1"/>
        <v>303095</v>
      </c>
      <c r="F22" s="204"/>
    </row>
    <row r="23" spans="1:6" s="203" customFormat="1" ht="18.75" customHeight="1">
      <c r="A23" s="203" t="s">
        <v>78</v>
      </c>
      <c r="B23" s="192" t="s">
        <v>112</v>
      </c>
      <c r="C23" s="196">
        <f>SUM(C24:C26)</f>
        <v>28390874</v>
      </c>
      <c r="D23" s="196">
        <f>SUM(D24:D26)</f>
        <v>28578322</v>
      </c>
      <c r="E23" s="197">
        <f t="shared" si="1"/>
        <v>187448</v>
      </c>
      <c r="F23" s="204"/>
    </row>
    <row r="24" spans="1:6" ht="16.5" customHeight="1">
      <c r="B24" s="206" t="s">
        <v>658</v>
      </c>
      <c r="C24" s="202">
        <v>3347343</v>
      </c>
      <c r="D24" s="202">
        <v>3263063</v>
      </c>
      <c r="E24" s="197">
        <f t="shared" si="1"/>
        <v>-84280</v>
      </c>
    </row>
    <row r="25" spans="1:6" ht="16.5" customHeight="1">
      <c r="B25" s="206" t="s">
        <v>697</v>
      </c>
      <c r="C25" s="202">
        <v>1615846</v>
      </c>
      <c r="D25" s="202">
        <v>1468399</v>
      </c>
      <c r="E25" s="197">
        <f t="shared" si="1"/>
        <v>-147447</v>
      </c>
    </row>
    <row r="26" spans="1:6" ht="16.5" customHeight="1">
      <c r="B26" s="206" t="s">
        <v>659</v>
      </c>
      <c r="C26" s="202">
        <v>23427685</v>
      </c>
      <c r="D26" s="202">
        <v>23846860</v>
      </c>
      <c r="E26" s="207">
        <f t="shared" si="1"/>
        <v>419175</v>
      </c>
    </row>
    <row r="27" spans="1:6" ht="16.5" customHeight="1">
      <c r="B27" s="198"/>
      <c r="C27" s="202"/>
      <c r="D27" s="202"/>
      <c r="E27" s="207">
        <f t="shared" si="1"/>
        <v>0</v>
      </c>
    </row>
    <row r="28" spans="1:6" ht="18" customHeight="1">
      <c r="B28" s="88"/>
      <c r="C28" s="89"/>
      <c r="D28" s="90"/>
      <c r="E28" s="91"/>
      <c r="F28" s="92"/>
    </row>
    <row r="29" spans="1:6" ht="169.5" customHeight="1">
      <c r="A29" s="93"/>
      <c r="B29" s="1140" t="s">
        <v>717</v>
      </c>
      <c r="C29" s="1140"/>
      <c r="D29" s="1140"/>
      <c r="E29" s="1140"/>
    </row>
    <row r="30" spans="1:6" ht="18" customHeight="1">
      <c r="E30" s="92" t="s">
        <v>460</v>
      </c>
    </row>
    <row r="31" spans="1:6" ht="24.75" customHeight="1">
      <c r="B31" s="192"/>
      <c r="C31" s="193" t="s">
        <v>700</v>
      </c>
      <c r="D31" s="193" t="s">
        <v>696</v>
      </c>
      <c r="E31" s="193" t="s">
        <v>462</v>
      </c>
    </row>
    <row r="32" spans="1:6" ht="24.75" customHeight="1">
      <c r="B32" s="192" t="s">
        <v>464</v>
      </c>
      <c r="C32" s="194">
        <v>15.8</v>
      </c>
      <c r="D32" s="194">
        <v>7.2</v>
      </c>
      <c r="E32" s="208">
        <f>D32-C32</f>
        <v>-8.6000000000000014</v>
      </c>
      <c r="F32" s="92"/>
    </row>
    <row r="33" spans="1:11" ht="12.75" customHeight="1">
      <c r="B33" s="88"/>
      <c r="C33" s="89"/>
      <c r="D33" s="90"/>
      <c r="E33" s="91"/>
      <c r="F33" s="92"/>
    </row>
    <row r="34" spans="1:11" ht="24.75" customHeight="1">
      <c r="A34" s="87" t="s">
        <v>640</v>
      </c>
      <c r="E34" s="92" t="s">
        <v>465</v>
      </c>
    </row>
    <row r="35" spans="1:11" ht="24.75" customHeight="1">
      <c r="B35" s="193" t="s">
        <v>197</v>
      </c>
      <c r="C35" s="193" t="s">
        <v>700</v>
      </c>
      <c r="D35" s="193" t="s">
        <v>696</v>
      </c>
      <c r="E35" s="193" t="s">
        <v>462</v>
      </c>
    </row>
    <row r="36" spans="1:11" ht="24.75" customHeight="1">
      <c r="A36" s="87" t="s">
        <v>54</v>
      </c>
      <c r="B36" s="192" t="s">
        <v>635</v>
      </c>
      <c r="C36" s="196">
        <v>42280341</v>
      </c>
      <c r="D36" s="196">
        <v>42709819</v>
      </c>
      <c r="E36" s="197">
        <f t="shared" ref="E36:E41" si="2">D36-C36</f>
        <v>429478</v>
      </c>
      <c r="F36" s="92"/>
    </row>
    <row r="37" spans="1:11" ht="18" customHeight="1">
      <c r="B37" s="198" t="s">
        <v>652</v>
      </c>
      <c r="C37" s="209">
        <v>21542852</v>
      </c>
      <c r="D37" s="209">
        <v>21775909</v>
      </c>
      <c r="E37" s="207">
        <f t="shared" si="2"/>
        <v>233057</v>
      </c>
    </row>
    <row r="38" spans="1:11" ht="18" customHeight="1">
      <c r="B38" s="198" t="s">
        <v>653</v>
      </c>
      <c r="C38" s="202">
        <v>10107119</v>
      </c>
      <c r="D38" s="202">
        <v>11385006</v>
      </c>
      <c r="E38" s="207">
        <f t="shared" si="2"/>
        <v>1277887</v>
      </c>
    </row>
    <row r="39" spans="1:11" ht="24.75" customHeight="1">
      <c r="A39" s="87" t="s">
        <v>39</v>
      </c>
      <c r="B39" s="192" t="s">
        <v>637</v>
      </c>
      <c r="C39" s="196">
        <v>399212</v>
      </c>
      <c r="D39" s="196">
        <v>344126</v>
      </c>
      <c r="E39" s="197">
        <f t="shared" si="2"/>
        <v>-55086</v>
      </c>
      <c r="F39" s="92"/>
      <c r="H39" s="87">
        <v>518315</v>
      </c>
      <c r="I39" s="87">
        <v>15443989</v>
      </c>
      <c r="J39" s="87">
        <v>0</v>
      </c>
      <c r="K39" s="87">
        <v>7701760</v>
      </c>
    </row>
    <row r="40" spans="1:11" ht="24.75" customHeight="1">
      <c r="A40" s="87" t="s">
        <v>55</v>
      </c>
      <c r="B40" s="192" t="s">
        <v>636</v>
      </c>
      <c r="C40" s="196">
        <v>17915865</v>
      </c>
      <c r="D40" s="196">
        <v>17480152</v>
      </c>
      <c r="E40" s="197">
        <f t="shared" si="2"/>
        <v>-435713</v>
      </c>
      <c r="F40" s="92"/>
      <c r="G40" s="87">
        <v>39628771</v>
      </c>
      <c r="H40" s="87">
        <v>457048</v>
      </c>
      <c r="I40" s="87">
        <v>17169175</v>
      </c>
      <c r="J40" s="87">
        <v>0</v>
      </c>
      <c r="K40" s="87">
        <v>6871191</v>
      </c>
    </row>
    <row r="41" spans="1:11" ht="24.75" customHeight="1">
      <c r="A41" s="87" t="s">
        <v>57</v>
      </c>
      <c r="B41" s="192" t="s">
        <v>638</v>
      </c>
      <c r="C41" s="196">
        <v>6573853</v>
      </c>
      <c r="D41" s="196">
        <v>6208403</v>
      </c>
      <c r="E41" s="197">
        <f t="shared" si="2"/>
        <v>-365450</v>
      </c>
      <c r="F41" s="92"/>
    </row>
    <row r="42" spans="1:11" ht="24.75" customHeight="1">
      <c r="B42" s="210" t="s">
        <v>132</v>
      </c>
      <c r="C42" s="211">
        <f>SUM(C36,C39,C40,C41)</f>
        <v>67169271</v>
      </c>
      <c r="D42" s="211">
        <f>SUM(D36,D39,D40,D41)</f>
        <v>66742500</v>
      </c>
      <c r="E42" s="197">
        <f>SUM(E36,E39,E40,E41)</f>
        <v>-426771</v>
      </c>
    </row>
    <row r="43" spans="1:11" ht="19.5" customHeight="1">
      <c r="B43" s="94"/>
    </row>
    <row r="44" spans="1:11" s="203" customFormat="1" ht="18" customHeight="1">
      <c r="B44" s="203" t="s">
        <v>665</v>
      </c>
    </row>
    <row r="45" spans="1:11" s="203" customFormat="1" ht="18" customHeight="1">
      <c r="B45" s="193"/>
      <c r="C45" s="193" t="s">
        <v>700</v>
      </c>
      <c r="D45" s="193" t="s">
        <v>696</v>
      </c>
      <c r="E45" s="193" t="s">
        <v>462</v>
      </c>
    </row>
    <row r="46" spans="1:11" s="203" customFormat="1" ht="18" customHeight="1">
      <c r="B46" s="212" t="s">
        <v>661</v>
      </c>
      <c r="C46" s="200">
        <v>17915865</v>
      </c>
      <c r="D46" s="200">
        <v>17480152</v>
      </c>
      <c r="E46" s="197">
        <f>D46-C46</f>
        <v>-435713</v>
      </c>
    </row>
    <row r="47" spans="1:11" s="203" customFormat="1" ht="18" customHeight="1">
      <c r="B47" s="213" t="s">
        <v>469</v>
      </c>
      <c r="C47" s="200">
        <v>5777226</v>
      </c>
      <c r="D47" s="200">
        <v>6116077</v>
      </c>
      <c r="E47" s="197">
        <f>D47-C47</f>
        <v>338851</v>
      </c>
    </row>
    <row r="48" spans="1:11" s="203" customFormat="1" ht="18" customHeight="1">
      <c r="B48" s="213" t="s">
        <v>662</v>
      </c>
      <c r="C48" s="199">
        <v>11471268</v>
      </c>
      <c r="D48" s="199">
        <v>10676461</v>
      </c>
      <c r="E48" s="197">
        <f>D48-C48</f>
        <v>-794807</v>
      </c>
    </row>
    <row r="49" spans="2:5" s="203" customFormat="1" ht="18" customHeight="1">
      <c r="B49" s="213" t="s">
        <v>660</v>
      </c>
      <c r="C49" s="200">
        <v>640383</v>
      </c>
      <c r="D49" s="200">
        <v>667331</v>
      </c>
      <c r="E49" s="197">
        <f>D49-C49</f>
        <v>26948</v>
      </c>
    </row>
    <row r="50" spans="2:5" s="203" customFormat="1" ht="6.75" customHeight="1"/>
    <row r="51" spans="2:5" s="203" customFormat="1" ht="18" customHeight="1">
      <c r="B51" s="214" t="s">
        <v>663</v>
      </c>
    </row>
    <row r="52" spans="2:5" s="203" customFormat="1" ht="18" customHeight="1">
      <c r="B52" s="203" t="s">
        <v>664</v>
      </c>
    </row>
    <row r="53" spans="2:5" s="203" customFormat="1" ht="18" customHeight="1">
      <c r="B53" s="214" t="s">
        <v>701</v>
      </c>
    </row>
    <row r="54" spans="2:5" s="203" customFormat="1" ht="18" customHeight="1">
      <c r="B54" s="203" t="s">
        <v>702</v>
      </c>
    </row>
    <row r="55" spans="2:5" s="203" customFormat="1" ht="18" customHeight="1">
      <c r="B55" s="203" t="s">
        <v>703</v>
      </c>
    </row>
    <row r="56" spans="2:5" s="203" customFormat="1" ht="12" customHeight="1"/>
    <row r="57" spans="2:5" s="203" customFormat="1" ht="18" customHeight="1">
      <c r="B57" s="203" t="s">
        <v>676</v>
      </c>
    </row>
    <row r="58" spans="2:5" s="203" customFormat="1" ht="18" customHeight="1">
      <c r="B58" s="193"/>
      <c r="C58" s="193" t="s">
        <v>700</v>
      </c>
      <c r="D58" s="193" t="s">
        <v>696</v>
      </c>
      <c r="E58" s="193" t="s">
        <v>462</v>
      </c>
    </row>
    <row r="59" spans="2:5" s="203" customFormat="1" ht="18" customHeight="1">
      <c r="B59" s="212" t="s">
        <v>666</v>
      </c>
      <c r="C59" s="200">
        <v>6573853</v>
      </c>
      <c r="D59" s="200">
        <v>6208403</v>
      </c>
      <c r="E59" s="197">
        <f>D59-C59</f>
        <v>-365450</v>
      </c>
    </row>
    <row r="60" spans="2:5" s="203" customFormat="1" ht="7.5" customHeight="1"/>
    <row r="61" spans="2:5" s="203" customFormat="1" ht="18" customHeight="1">
      <c r="B61" s="214" t="s">
        <v>470</v>
      </c>
    </row>
    <row r="62" spans="2:5" s="203" customFormat="1" ht="18" customHeight="1">
      <c r="B62" s="203" t="s">
        <v>667</v>
      </c>
    </row>
    <row r="63" spans="2:5" s="203" customFormat="1" ht="18" customHeight="1">
      <c r="B63" s="203" t="s">
        <v>668</v>
      </c>
    </row>
    <row r="64" spans="2:5" s="203" customFormat="1" ht="18" customHeight="1">
      <c r="B64" s="203" t="s">
        <v>669</v>
      </c>
    </row>
    <row r="65" spans="1:5" s="203" customFormat="1" ht="18" customHeight="1">
      <c r="B65" s="193"/>
      <c r="C65" s="193" t="s">
        <v>700</v>
      </c>
      <c r="D65" s="193" t="s">
        <v>696</v>
      </c>
      <c r="E65" s="193" t="s">
        <v>462</v>
      </c>
    </row>
    <row r="66" spans="1:5" s="203" customFormat="1" ht="18" customHeight="1">
      <c r="B66" s="212" t="s">
        <v>670</v>
      </c>
      <c r="C66" s="200">
        <v>11989451</v>
      </c>
      <c r="D66" s="200">
        <v>13073113</v>
      </c>
      <c r="E66" s="215">
        <f>D66-C66</f>
        <v>1083662</v>
      </c>
    </row>
    <row r="67" spans="1:5" s="203" customFormat="1" ht="18" customHeight="1">
      <c r="B67" s="214" t="s">
        <v>704</v>
      </c>
    </row>
    <row r="68" spans="1:5" s="203" customFormat="1" ht="18" customHeight="1">
      <c r="B68" s="203" t="s">
        <v>705</v>
      </c>
    </row>
    <row r="69" spans="1:5" s="203" customFormat="1" ht="18" customHeight="1"/>
    <row r="70" spans="1:5" s="203" customFormat="1" ht="18" customHeight="1">
      <c r="B70" s="203" t="s">
        <v>471</v>
      </c>
    </row>
    <row r="71" spans="1:5" s="203" customFormat="1" ht="18" customHeight="1">
      <c r="B71" s="193"/>
      <c r="C71" s="193" t="s">
        <v>700</v>
      </c>
      <c r="D71" s="193" t="s">
        <v>696</v>
      </c>
      <c r="E71" s="193" t="s">
        <v>462</v>
      </c>
    </row>
    <row r="72" spans="1:5" s="203" customFormat="1" ht="18" customHeight="1">
      <c r="B72" s="212" t="s">
        <v>673</v>
      </c>
      <c r="C72" s="200">
        <v>43233125</v>
      </c>
      <c r="D72" s="200">
        <v>43435502</v>
      </c>
      <c r="E72" s="197">
        <f>D72-C72</f>
        <v>202377</v>
      </c>
    </row>
    <row r="73" spans="1:5" s="203" customFormat="1" ht="18" customHeight="1">
      <c r="B73" s="213" t="s">
        <v>671</v>
      </c>
      <c r="C73" s="199">
        <v>35529085</v>
      </c>
      <c r="D73" s="199">
        <v>35879262</v>
      </c>
      <c r="E73" s="197">
        <f>D73-C73</f>
        <v>350177</v>
      </c>
    </row>
    <row r="74" spans="1:5" s="203" customFormat="1" ht="18" customHeight="1">
      <c r="B74" s="213" t="s">
        <v>706</v>
      </c>
      <c r="C74" s="199">
        <v>1975975</v>
      </c>
      <c r="D74" s="199">
        <v>2118789</v>
      </c>
      <c r="E74" s="197">
        <f>D74-C74</f>
        <v>142814</v>
      </c>
    </row>
    <row r="75" spans="1:5" s="203" customFormat="1" ht="18" customHeight="1">
      <c r="B75" s="213" t="s">
        <v>672</v>
      </c>
      <c r="C75" s="199">
        <v>567941</v>
      </c>
      <c r="D75" s="199">
        <v>465513</v>
      </c>
      <c r="E75" s="197">
        <f>D75-C75</f>
        <v>-102428</v>
      </c>
    </row>
    <row r="76" spans="1:5" s="203" customFormat="1" ht="18" customHeight="1">
      <c r="B76" s="213" t="s">
        <v>707</v>
      </c>
      <c r="C76" s="199">
        <v>4013482</v>
      </c>
      <c r="D76" s="199">
        <v>3970892</v>
      </c>
      <c r="E76" s="197">
        <f>D76-C76</f>
        <v>-42590</v>
      </c>
    </row>
    <row r="77" spans="1:5" s="203" customFormat="1" ht="18" customHeight="1">
      <c r="B77" s="214" t="s">
        <v>674</v>
      </c>
    </row>
    <row r="78" spans="1:5" s="203" customFormat="1" ht="18" customHeight="1">
      <c r="B78" s="203" t="s">
        <v>675</v>
      </c>
    </row>
    <row r="79" spans="1:5" ht="19.5" customHeight="1">
      <c r="B79" s="94"/>
    </row>
    <row r="80" spans="1:5" ht="60" customHeight="1">
      <c r="A80" s="93"/>
      <c r="B80" s="1140" t="s">
        <v>708</v>
      </c>
      <c r="C80" s="1140"/>
      <c r="D80" s="1140"/>
      <c r="E80" s="1140"/>
    </row>
    <row r="81" spans="1:6" ht="89.25" customHeight="1">
      <c r="A81" s="93"/>
      <c r="B81" s="1140" t="s">
        <v>709</v>
      </c>
      <c r="C81" s="1140"/>
      <c r="D81" s="1140"/>
      <c r="E81" s="1140"/>
    </row>
    <row r="82" spans="1:6" ht="18" customHeight="1">
      <c r="E82" s="92" t="s">
        <v>460</v>
      </c>
    </row>
    <row r="83" spans="1:6" ht="18" customHeight="1">
      <c r="B83" s="192" t="s">
        <v>632</v>
      </c>
      <c r="C83" s="193" t="s">
        <v>700</v>
      </c>
      <c r="D83" s="193" t="s">
        <v>696</v>
      </c>
      <c r="E83" s="193" t="s">
        <v>462</v>
      </c>
    </row>
    <row r="84" spans="1:6" ht="18" customHeight="1">
      <c r="B84" s="192" t="s">
        <v>629</v>
      </c>
      <c r="C84" s="216">
        <v>-26.25</v>
      </c>
      <c r="D84" s="216">
        <v>-21.99</v>
      </c>
      <c r="E84" s="217">
        <f>D84-C84</f>
        <v>4.2600000000000016</v>
      </c>
      <c r="F84" s="92"/>
    </row>
    <row r="85" spans="1:6" ht="18" customHeight="1">
      <c r="B85" s="192" t="s">
        <v>630</v>
      </c>
      <c r="C85" s="216">
        <v>-200.19</v>
      </c>
      <c r="D85" s="216">
        <v>-168.86</v>
      </c>
      <c r="E85" s="217">
        <f>D85-C85</f>
        <v>31.329999999999984</v>
      </c>
      <c r="F85" s="92"/>
    </row>
    <row r="86" spans="1:6" ht="18" customHeight="1">
      <c r="B86" s="192" t="s">
        <v>631</v>
      </c>
      <c r="C86" s="216">
        <v>-62.2</v>
      </c>
      <c r="D86" s="216">
        <v>-63.68</v>
      </c>
      <c r="E86" s="217">
        <f>D86-C86</f>
        <v>-1.4799999999999969</v>
      </c>
      <c r="F86" s="92"/>
    </row>
    <row r="87" spans="1:6" ht="18" customHeight="1">
      <c r="B87" s="192" t="s">
        <v>159</v>
      </c>
      <c r="C87" s="216">
        <v>-12.23</v>
      </c>
      <c r="D87" s="216">
        <v>-6.81</v>
      </c>
      <c r="E87" s="217">
        <f>D87-C87</f>
        <v>5.4200000000000008</v>
      </c>
      <c r="F87" s="92"/>
    </row>
    <row r="88" spans="1:6" ht="18" customHeight="1">
      <c r="B88" s="192" t="s">
        <v>160</v>
      </c>
      <c r="C88" s="216">
        <v>-280.49</v>
      </c>
      <c r="D88" s="216">
        <v>-197.66</v>
      </c>
      <c r="E88" s="217">
        <f>D88-C88</f>
        <v>82.830000000000013</v>
      </c>
      <c r="F88" s="92"/>
    </row>
    <row r="89" spans="1:6" ht="18" customHeight="1">
      <c r="B89" s="192" t="s">
        <v>161</v>
      </c>
      <c r="C89" s="216">
        <v>-884.18</v>
      </c>
      <c r="D89" s="218" t="s">
        <v>710</v>
      </c>
      <c r="E89" s="219" t="s">
        <v>711</v>
      </c>
      <c r="F89" s="92"/>
    </row>
    <row r="90" spans="1:6" ht="18" customHeight="1">
      <c r="B90" s="94"/>
    </row>
    <row r="91" spans="1:6" ht="18" customHeight="1"/>
  </sheetData>
  <mergeCells count="6">
    <mergeCell ref="B81:E81"/>
    <mergeCell ref="A1:E1"/>
    <mergeCell ref="B3:E3"/>
    <mergeCell ref="B4:E4"/>
    <mergeCell ref="B29:E29"/>
    <mergeCell ref="B80:E80"/>
  </mergeCells>
  <phoneticPr fontId="37"/>
  <pageMargins left="0.64" right="0.21" top="0.76" bottom="0.41" header="0.34" footer="0.22"/>
  <pageSetup paperSize="9" orientation="portrait"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4:A8"/>
  <sheetViews>
    <sheetView workbookViewId="0">
      <selection activeCell="L32" sqref="L32"/>
    </sheetView>
  </sheetViews>
  <sheetFormatPr defaultRowHeight="12"/>
  <cols>
    <col min="1" max="16384" width="9" style="47"/>
  </cols>
  <sheetData>
    <row r="4" spans="1:1">
      <c r="A4" s="47" t="s">
        <v>625</v>
      </c>
    </row>
    <row r="6" spans="1:1">
      <c r="A6" s="47" t="s">
        <v>626</v>
      </c>
    </row>
    <row r="8" spans="1:1">
      <c r="A8" s="47" t="s">
        <v>627</v>
      </c>
    </row>
  </sheetData>
  <phoneticPr fontId="2"/>
  <pageMargins left="0.32" right="0.27"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総括</vt:lpstr>
      <vt:lpstr>実質赤字比率</vt:lpstr>
      <vt:lpstr>連結実質赤字比率</vt:lpstr>
      <vt:lpstr>実質公債費比率</vt:lpstr>
      <vt:lpstr>将来負担比率</vt:lpstr>
      <vt:lpstr>資金不足比率</vt:lpstr>
      <vt:lpstr>比較2</vt:lpstr>
      <vt:lpstr>決裁説明用</vt:lpstr>
      <vt:lpstr>文言</vt:lpstr>
      <vt:lpstr>Sheet2</vt:lpstr>
      <vt:lpstr>Sheet4</vt:lpstr>
      <vt:lpstr>Sheet1</vt:lpstr>
      <vt:lpstr>監査説明用</vt:lpstr>
      <vt:lpstr>監査説明用!Print_Area</vt:lpstr>
      <vt:lpstr>決裁説明用!Print_Area</vt:lpstr>
      <vt:lpstr>実質公債費比率!Print_Area</vt:lpstr>
      <vt:lpstr>将来負担比率!Print_Area</vt:lpstr>
      <vt:lpstr>総括!Print_Area</vt:lpstr>
      <vt:lpstr>比較2!Print_Area</vt:lpstr>
    </vt:vector>
  </TitlesOfParts>
  <Company>inazawa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inazawa</dc:creator>
  <dc:description>庁議出席者・協議会</dc:description>
  <cp:lastModifiedBy>CL2103-137t</cp:lastModifiedBy>
  <cp:lastPrinted>2025-08-04T04:18:46Z</cp:lastPrinted>
  <dcterms:created xsi:type="dcterms:W3CDTF">2008-07-14T23:45:22Z</dcterms:created>
  <dcterms:modified xsi:type="dcterms:W3CDTF">2025-08-04T08:08:32Z</dcterms:modified>
</cp:coreProperties>
</file>